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drawings/drawing4.xml" ContentType="application/vnd.openxmlformats-officedocument.drawing+xml"/>
  <Override PartName="/xl/tables/table5.xml" ContentType="application/vnd.openxmlformats-officedocument.spreadsheetml.table+xml"/>
  <Override PartName="/xl/drawings/drawing5.xml" ContentType="application/vnd.openxmlformats-officedocument.drawing+xml"/>
  <Override PartName="/xl/tables/table6.xml" ContentType="application/vnd.openxmlformats-officedocument.spreadsheetml.table+xml"/>
  <Override PartName="/xl/drawings/drawing6.xml" ContentType="application/vnd.openxmlformats-officedocument.drawing+xml"/>
  <Override PartName="/xl/tables/table7.xml" ContentType="application/vnd.openxmlformats-officedocument.spreadsheetml.table+xml"/>
  <Override PartName="/xl/drawings/drawing7.xml" ContentType="application/vnd.openxmlformats-officedocument.drawing+xml"/>
  <Override PartName="/xl/tables/table8.xml" ContentType="application/vnd.openxmlformats-officedocument.spreadsheetml.table+xml"/>
  <Override PartName="/xl/drawings/drawing8.xml" ContentType="application/vnd.openxmlformats-officedocument.drawing+xml"/>
  <Override PartName="/xl/tables/table9.xml" ContentType="application/vnd.openxmlformats-officedocument.spreadsheetml.table+xml"/>
  <Override PartName="/xl/drawings/drawing9.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drawings/drawing10.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11.xml" ContentType="application/vnd.openxmlformats-officedocument.drawing+xml"/>
  <Override PartName="/xl/tables/table15.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Ex1.xml" ContentType="application/vnd.ms-office.chartex+xml"/>
  <Override PartName="/xl/charts/style4.xml" ContentType="application/vnd.ms-office.chartstyle+xml"/>
  <Override PartName="/xl/charts/colors4.xml" ContentType="application/vnd.ms-office.chartcolorstyle+xml"/>
  <Override PartName="/xl/charts/chart4.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2.xml" ContentType="application/vnd.openxmlformats-officedocument.drawing+xml"/>
  <Override PartName="/xl/tables/table16.xml" ContentType="application/vnd.openxmlformats-officedocument.spreadsheetml.table+xml"/>
  <Override PartName="/xl/charts/chart5.xml" ContentType="application/vnd.openxmlformats-officedocument.drawingml.chart+xml"/>
  <Override PartName="/xl/charts/style6.xml" ContentType="application/vnd.ms-office.chartstyle+xml"/>
  <Override PartName="/xl/charts/colors6.xml" ContentType="application/vnd.ms-office.chartcolorstyle+xml"/>
  <Override PartName="/xl/charts/chart6.xml" ContentType="application/vnd.openxmlformats-officedocument.drawingml.chart+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harts/chart9.xml" ContentType="application/vnd.openxmlformats-officedocument.drawingml.chart+xml"/>
  <Override PartName="/xl/charts/style10.xml" ContentType="application/vnd.ms-office.chartstyle+xml"/>
  <Override PartName="/xl/charts/colors10.xml" ContentType="application/vnd.ms-office.chartcolorstyle+xml"/>
  <Override PartName="/xl/charts/chart10.xml" ContentType="application/vnd.openxmlformats-officedocument.drawingml.chart+xml"/>
  <Override PartName="/xl/charts/style11.xml" ContentType="application/vnd.ms-office.chartstyle+xml"/>
  <Override PartName="/xl/charts/colors11.xml" ContentType="application/vnd.ms-office.chartcolorstyle+xml"/>
  <Override PartName="/xl/charts/chart11.xml" ContentType="application/vnd.openxmlformats-officedocument.drawingml.chart+xml"/>
  <Override PartName="/xl/charts/style12.xml" ContentType="application/vnd.ms-office.chartstyle+xml"/>
  <Override PartName="/xl/charts/colors12.xml" ContentType="application/vnd.ms-office.chartcolorstyle+xml"/>
  <Override PartName="/xl/charts/chart12.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13.xml" ContentType="application/vnd.openxmlformats-officedocument.drawing+xml"/>
  <Override PartName="/xl/charts/chart13.xml" ContentType="application/vnd.openxmlformats-officedocument.drawingml.chart+xml"/>
  <Override PartName="/xl/charts/style14.xml" ContentType="application/vnd.ms-office.chartstyle+xml"/>
  <Override PartName="/xl/charts/colors14.xml" ContentType="application/vnd.ms-office.chartcolorstyle+xml"/>
  <Override PartName="/xl/charts/chartEx2.xml" ContentType="application/vnd.ms-office.chartex+xml"/>
  <Override PartName="/xl/charts/style15.xml" ContentType="application/vnd.ms-office.chartstyle+xml"/>
  <Override PartName="/xl/charts/colors15.xml" ContentType="application/vnd.ms-office.chartcolorstyle+xml"/>
  <Override PartName="/xl/charts/chartEx3.xml" ContentType="application/vnd.ms-office.chartex+xml"/>
  <Override PartName="/xl/charts/style16.xml" ContentType="application/vnd.ms-office.chartstyle+xml"/>
  <Override PartName="/xl/charts/colors16.xml" ContentType="application/vnd.ms-office.chartcolorstyle+xml"/>
  <Override PartName="/xl/charts/chartEx4.xml" ContentType="application/vnd.ms-office.chartex+xml"/>
  <Override PartName="/xl/charts/style17.xml" ContentType="application/vnd.ms-office.chartstyle+xml"/>
  <Override PartName="/xl/charts/colors17.xml" ContentType="application/vnd.ms-office.chartcolorstyle+xml"/>
  <Override PartName="/xl/charts/chartEx5.xml" ContentType="application/vnd.ms-office.chartex+xml"/>
  <Override PartName="/xl/charts/style18.xml" ContentType="application/vnd.ms-office.chartstyle+xml"/>
  <Override PartName="/xl/charts/colors18.xml" ContentType="application/vnd.ms-office.chartcolorstyle+xml"/>
  <Override PartName="/xl/charts/chart14.xml" ContentType="application/vnd.openxmlformats-officedocument.drawingml.chart+xml"/>
  <Override PartName="/xl/charts/style19.xml" ContentType="application/vnd.ms-office.chartstyle+xml"/>
  <Override PartName="/xl/charts/colors19.xml" ContentType="application/vnd.ms-office.chartcolorstyle+xml"/>
  <Override PartName="/xl/charts/chart15.xml" ContentType="application/vnd.openxmlformats-officedocument.drawingml.chart+xml"/>
  <Override PartName="/xl/charts/style20.xml" ContentType="application/vnd.ms-office.chartstyle+xml"/>
  <Override PartName="/xl/charts/colors20.xml" ContentType="application/vnd.ms-office.chartcolorstyle+xml"/>
  <Override PartName="/xl/charts/chart16.xml" ContentType="application/vnd.openxmlformats-officedocument.drawingml.chart+xml"/>
  <Override PartName="/xl/charts/style21.xml" ContentType="application/vnd.ms-office.chartstyle+xml"/>
  <Override PartName="/xl/charts/colors21.xml" ContentType="application/vnd.ms-office.chartcolorstyle+xml"/>
  <Override PartName="/xl/charts/chartEx6.xml" ContentType="application/vnd.ms-office.chartex+xml"/>
  <Override PartName="/xl/charts/style22.xml" ContentType="application/vnd.ms-office.chartstyle+xml"/>
  <Override PartName="/xl/charts/colors22.xml" ContentType="application/vnd.ms-office.chartcolorstyle+xml"/>
  <Override PartName="/xl/charts/chart17.xml" ContentType="application/vnd.openxmlformats-officedocument.drawingml.chart+xml"/>
  <Override PartName="/xl/charts/style23.xml" ContentType="application/vnd.ms-office.chartstyle+xml"/>
  <Override PartName="/xl/charts/colors23.xml" ContentType="application/vnd.ms-office.chartcolorstyle+xml"/>
  <Override PartName="/xl/charts/chart18.xml" ContentType="application/vnd.openxmlformats-officedocument.drawingml.chart+xml"/>
  <Override PartName="/xl/charts/style24.xml" ContentType="application/vnd.ms-office.chartstyle+xml"/>
  <Override PartName="/xl/charts/colors2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intra.crnormandie.fr\Bureautique\DGA ECO\DEEDD\17_ECO_CIRCULAIRE\05_THEMATIQUES\08_CONSIGNE\2_ETUDES\Etude lavage contenant 2023\travaux de nickie\"/>
    </mc:Choice>
  </mc:AlternateContent>
  <xr:revisionPtr revIDLastSave="0" documentId="8_{67B76262-D34D-4084-B1A9-85A837742D50}" xr6:coauthVersionLast="47" xr6:coauthVersionMax="47" xr10:uidLastSave="{00000000-0000-0000-0000-000000000000}"/>
  <bookViews>
    <workbookView xWindow="-120" yWindow="-120" windowWidth="29040" windowHeight="15720" tabRatio="786" xr2:uid="{00000000-000D-0000-FFFF-FFFF00000000}"/>
  </bookViews>
  <sheets>
    <sheet name="Miel" sheetId="2" r:id="rId1"/>
    <sheet name="Traiteur" sheetId="3" r:id="rId2"/>
    <sheet name="bière" sheetId="4" r:id="rId3"/>
    <sheet name="fermiers" sheetId="5" r:id="rId4"/>
    <sheet name="Ind. lait" sheetId="6" r:id="rId5"/>
    <sheet name="cidre" sheetId="7" r:id="rId6"/>
    <sheet name="portage" sheetId="8" r:id="rId7"/>
    <sheet name="conso-ménages" sheetId="9" r:id="rId8"/>
    <sheet name="Synthèse" sheetId="23" r:id="rId9"/>
    <sheet name="Méthode" sheetId="25" r:id="rId10"/>
    <sheet name="Data" sheetId="1" r:id="rId11"/>
    <sheet name="A-Demande-Miel" sheetId="13" r:id="rId12"/>
    <sheet name="A-Demande-CHR-traiteur" sheetId="22" r:id="rId13"/>
    <sheet name="A-Demande-bière" sheetId="14" r:id="rId14"/>
    <sheet name="A-Demande-fermiers" sheetId="21" r:id="rId15"/>
    <sheet name="A-Demande-Ind-lait" sheetId="15" r:id="rId16"/>
    <sheet name="A-Demande-cidre" sheetId="20" r:id="rId17"/>
    <sheet name="A-Portage" sheetId="16" r:id="rId18"/>
    <sheet name="A-conso" sheetId="19" r:id="rId19"/>
    <sheet name="A-analyse-comp" sheetId="17" r:id="rId20"/>
    <sheet name="A-synth-prod" sheetId="18" r:id="rId21"/>
  </sheets>
  <definedNames>
    <definedName name="_xlnm._FilterDatabase" localSheetId="10" hidden="1">Data!$A$5:$K$76</definedName>
    <definedName name="_xlnm._FilterDatabase" localSheetId="3" hidden="1">fermiers!$A$6:$J$76</definedName>
    <definedName name="_xlnm._FilterDatabase" localSheetId="6" hidden="1">portage!$A$5:$E$75</definedName>
    <definedName name="_xlnm._FilterDatabase" localSheetId="1" hidden="1">Traiteur!$K$80:$L$80</definedName>
    <definedName name="_xlchart.v1.0" hidden="1">'A-conso'!$BD$59:$BH$59</definedName>
    <definedName name="_xlchart.v1.1" hidden="1">'A-conso'!$BD$77:$BH$77</definedName>
    <definedName name="_xlchart.v1.10" hidden="1">'A-synth-prod'!$BD$51:$BD$55</definedName>
    <definedName name="_xlchart.v1.11" hidden="1">'A-synth-prod'!$BL$51:$BL$55</definedName>
    <definedName name="_xlchart.v1.2" hidden="1">'A-synth-prod'!$AT$38:$AX$38</definedName>
    <definedName name="_xlchart.v1.3" hidden="1">'A-synth-prod'!$AT$44:$AX$44</definedName>
    <definedName name="_xlchart.v1.4" hidden="1">'A-synth-prod'!$W$29:$AO$29</definedName>
    <definedName name="_xlchart.v1.5" hidden="1">'A-synth-prod'!$W$35:$AO$35</definedName>
    <definedName name="_xlchart.v1.6" hidden="1">'A-synth-prod'!$AP$30:$AP$34</definedName>
    <definedName name="_xlchart.v1.7" hidden="1">'A-synth-prod'!$V$30:$V$34</definedName>
    <definedName name="_xlchart.v1.8" hidden="1">'A-synth-prod'!$AS$39:$AS$43</definedName>
    <definedName name="_xlchart.v1.9" hidden="1">'A-synth-prod'!$AY$39:$AY$43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6" i="23" l="1"/>
  <c r="AM6" i="23"/>
  <c r="AN6" i="23"/>
  <c r="AP6" i="23"/>
  <c r="AQ6" i="23"/>
  <c r="AR6" i="23"/>
  <c r="AL7" i="23"/>
  <c r="AM7" i="23"/>
  <c r="AN7" i="23"/>
  <c r="AP7" i="23"/>
  <c r="AQ7" i="23"/>
  <c r="AR7" i="23"/>
  <c r="AL8" i="23"/>
  <c r="AM8" i="23"/>
  <c r="AN8" i="23"/>
  <c r="AP8" i="23"/>
  <c r="AQ8" i="23"/>
  <c r="AR8" i="23"/>
  <c r="AL9" i="23"/>
  <c r="AM9" i="23"/>
  <c r="AN9" i="23"/>
  <c r="AP9" i="23"/>
  <c r="AQ9" i="23"/>
  <c r="AR9" i="23"/>
  <c r="AL10" i="23"/>
  <c r="AM10" i="23"/>
  <c r="AN10" i="23"/>
  <c r="AP10" i="23"/>
  <c r="AQ10" i="23"/>
  <c r="AR10" i="23"/>
  <c r="AL11" i="23"/>
  <c r="AM11" i="23"/>
  <c r="AN11" i="23"/>
  <c r="AP11" i="23"/>
  <c r="AQ11" i="23"/>
  <c r="AR11" i="23"/>
  <c r="AL12" i="23"/>
  <c r="AM12" i="23"/>
  <c r="AN12" i="23"/>
  <c r="AP12" i="23"/>
  <c r="AQ12" i="23"/>
  <c r="AR12" i="23"/>
  <c r="AL13" i="23"/>
  <c r="AM13" i="23"/>
  <c r="AN13" i="23"/>
  <c r="AP13" i="23"/>
  <c r="AQ13" i="23"/>
  <c r="AR13" i="23"/>
  <c r="AL14" i="23"/>
  <c r="AM14" i="23"/>
  <c r="AN14" i="23"/>
  <c r="AP14" i="23"/>
  <c r="AQ14" i="23"/>
  <c r="AR14" i="23"/>
  <c r="AL15" i="23"/>
  <c r="AM15" i="23"/>
  <c r="AN15" i="23"/>
  <c r="AP15" i="23"/>
  <c r="AQ15" i="23"/>
  <c r="AR15" i="23"/>
  <c r="AL16" i="23"/>
  <c r="AM16" i="23"/>
  <c r="AN16" i="23"/>
  <c r="AP16" i="23"/>
  <c r="AQ16" i="23"/>
  <c r="AR16" i="23"/>
  <c r="AL17" i="23"/>
  <c r="AM17" i="23"/>
  <c r="AN17" i="23"/>
  <c r="AP17" i="23"/>
  <c r="AQ17" i="23"/>
  <c r="AR17" i="23"/>
  <c r="AL18" i="23"/>
  <c r="AM18" i="23"/>
  <c r="AN18" i="23"/>
  <c r="AP18" i="23"/>
  <c r="AQ18" i="23"/>
  <c r="AR18" i="23"/>
  <c r="AL19" i="23"/>
  <c r="AM19" i="23"/>
  <c r="AN19" i="23"/>
  <c r="AP19" i="23"/>
  <c r="AQ19" i="23"/>
  <c r="AR19" i="23"/>
  <c r="AL20" i="23"/>
  <c r="AM20" i="23"/>
  <c r="AN20" i="23"/>
  <c r="AP20" i="23"/>
  <c r="AQ20" i="23"/>
  <c r="AR20" i="23"/>
  <c r="AL21" i="23"/>
  <c r="AM21" i="23"/>
  <c r="AN21" i="23"/>
  <c r="AP21" i="23"/>
  <c r="AQ21" i="23"/>
  <c r="AR21" i="23"/>
  <c r="AL22" i="23"/>
  <c r="AM22" i="23"/>
  <c r="AN22" i="23"/>
  <c r="AP22" i="23"/>
  <c r="AQ22" i="23"/>
  <c r="AR22" i="23"/>
  <c r="AL23" i="23"/>
  <c r="AM23" i="23"/>
  <c r="AN23" i="23"/>
  <c r="AP23" i="23"/>
  <c r="AQ23" i="23"/>
  <c r="AR23" i="23"/>
  <c r="AL24" i="23"/>
  <c r="AM24" i="23"/>
  <c r="AN24" i="23"/>
  <c r="AP24" i="23"/>
  <c r="AQ24" i="23"/>
  <c r="AR24" i="23"/>
  <c r="AL25" i="23"/>
  <c r="AM25" i="23"/>
  <c r="AN25" i="23"/>
  <c r="AP25" i="23"/>
  <c r="AQ25" i="23"/>
  <c r="AR25" i="23"/>
  <c r="AL26" i="23"/>
  <c r="AM26" i="23"/>
  <c r="AN26" i="23"/>
  <c r="AP26" i="23"/>
  <c r="AQ26" i="23"/>
  <c r="AR26" i="23"/>
  <c r="AL27" i="23"/>
  <c r="AM27" i="23"/>
  <c r="AN27" i="23"/>
  <c r="AP27" i="23"/>
  <c r="AQ27" i="23"/>
  <c r="AR27" i="23"/>
  <c r="AL28" i="23"/>
  <c r="AM28" i="23"/>
  <c r="AN28" i="23"/>
  <c r="AP28" i="23"/>
  <c r="AQ28" i="23"/>
  <c r="AR28" i="23"/>
  <c r="AL29" i="23"/>
  <c r="AM29" i="23"/>
  <c r="AN29" i="23"/>
  <c r="AP29" i="23"/>
  <c r="AQ29" i="23"/>
  <c r="AR29" i="23"/>
  <c r="AL30" i="23"/>
  <c r="AM30" i="23"/>
  <c r="AN30" i="23"/>
  <c r="AP30" i="23"/>
  <c r="AQ30" i="23"/>
  <c r="AR30" i="23"/>
  <c r="AL31" i="23"/>
  <c r="AM31" i="23"/>
  <c r="AN31" i="23"/>
  <c r="AP31" i="23"/>
  <c r="AQ31" i="23"/>
  <c r="AR31" i="23"/>
  <c r="AL32" i="23"/>
  <c r="AM32" i="23"/>
  <c r="AN32" i="23"/>
  <c r="AP32" i="23"/>
  <c r="AQ32" i="23"/>
  <c r="AR32" i="23"/>
  <c r="AL33" i="23"/>
  <c r="AM33" i="23"/>
  <c r="AN33" i="23"/>
  <c r="AP33" i="23"/>
  <c r="AQ33" i="23"/>
  <c r="AR33" i="23"/>
  <c r="AL34" i="23"/>
  <c r="AM34" i="23"/>
  <c r="AN34" i="23"/>
  <c r="AP34" i="23"/>
  <c r="AQ34" i="23"/>
  <c r="AR34" i="23"/>
  <c r="AL35" i="23"/>
  <c r="AM35" i="23"/>
  <c r="AN35" i="23"/>
  <c r="AP35" i="23"/>
  <c r="AQ35" i="23"/>
  <c r="AR35" i="23"/>
  <c r="AL36" i="23"/>
  <c r="AM36" i="23"/>
  <c r="AN36" i="23"/>
  <c r="AP36" i="23"/>
  <c r="AQ36" i="23"/>
  <c r="AR36" i="23"/>
  <c r="AL37" i="23"/>
  <c r="AM37" i="23"/>
  <c r="AN37" i="23"/>
  <c r="AP37" i="23"/>
  <c r="AQ37" i="23"/>
  <c r="AR37" i="23"/>
  <c r="AL38" i="23"/>
  <c r="AM38" i="23"/>
  <c r="AN38" i="23"/>
  <c r="AP38" i="23"/>
  <c r="AQ38" i="23"/>
  <c r="AR38" i="23"/>
  <c r="AL39" i="23"/>
  <c r="AM39" i="23"/>
  <c r="AN39" i="23"/>
  <c r="AP39" i="23"/>
  <c r="AQ39" i="23"/>
  <c r="AR39" i="23"/>
  <c r="AL40" i="23"/>
  <c r="AM40" i="23"/>
  <c r="AN40" i="23"/>
  <c r="AP40" i="23"/>
  <c r="AQ40" i="23"/>
  <c r="AR40" i="23"/>
  <c r="AL41" i="23"/>
  <c r="AM41" i="23"/>
  <c r="AN41" i="23"/>
  <c r="AP41" i="23"/>
  <c r="AQ41" i="23"/>
  <c r="AR41" i="23"/>
  <c r="AL42" i="23"/>
  <c r="AM42" i="23"/>
  <c r="AN42" i="23"/>
  <c r="AP42" i="23"/>
  <c r="AQ42" i="23"/>
  <c r="AR42" i="23"/>
  <c r="AL43" i="23"/>
  <c r="AM43" i="23"/>
  <c r="AN43" i="23"/>
  <c r="AP43" i="23"/>
  <c r="AQ43" i="23"/>
  <c r="AR43" i="23"/>
  <c r="AL44" i="23"/>
  <c r="AM44" i="23"/>
  <c r="AN44" i="23"/>
  <c r="AP44" i="23"/>
  <c r="AQ44" i="23"/>
  <c r="AR44" i="23"/>
  <c r="AL45" i="23"/>
  <c r="AM45" i="23"/>
  <c r="AN45" i="23"/>
  <c r="AP45" i="23"/>
  <c r="AQ45" i="23"/>
  <c r="AR45" i="23"/>
  <c r="AL46" i="23"/>
  <c r="AM46" i="23"/>
  <c r="AN46" i="23"/>
  <c r="AP46" i="23"/>
  <c r="AQ46" i="23"/>
  <c r="AR46" i="23"/>
  <c r="AL47" i="23"/>
  <c r="AM47" i="23"/>
  <c r="AN47" i="23"/>
  <c r="AP47" i="23"/>
  <c r="AQ47" i="23"/>
  <c r="AR47" i="23"/>
  <c r="AL48" i="23"/>
  <c r="AM48" i="23"/>
  <c r="AN48" i="23"/>
  <c r="AP48" i="23"/>
  <c r="AQ48" i="23"/>
  <c r="AR48" i="23"/>
  <c r="AL49" i="23"/>
  <c r="AM49" i="23"/>
  <c r="AN49" i="23"/>
  <c r="AP49" i="23"/>
  <c r="AQ49" i="23"/>
  <c r="AR49" i="23"/>
  <c r="AL50" i="23"/>
  <c r="AM50" i="23"/>
  <c r="AN50" i="23"/>
  <c r="AP50" i="23"/>
  <c r="AQ50" i="23"/>
  <c r="AR50" i="23"/>
  <c r="AL51" i="23"/>
  <c r="AM51" i="23"/>
  <c r="AN51" i="23"/>
  <c r="AP51" i="23"/>
  <c r="AQ51" i="23"/>
  <c r="AR51" i="23"/>
  <c r="AL52" i="23"/>
  <c r="AM52" i="23"/>
  <c r="AN52" i="23"/>
  <c r="AP52" i="23"/>
  <c r="AQ52" i="23"/>
  <c r="AR52" i="23"/>
  <c r="AL53" i="23"/>
  <c r="AM53" i="23"/>
  <c r="AN53" i="23"/>
  <c r="AP53" i="23"/>
  <c r="AQ53" i="23"/>
  <c r="AR53" i="23"/>
  <c r="AL54" i="23"/>
  <c r="AM54" i="23"/>
  <c r="AN54" i="23"/>
  <c r="AP54" i="23"/>
  <c r="AQ54" i="23"/>
  <c r="AR54" i="23"/>
  <c r="AL55" i="23"/>
  <c r="AM55" i="23"/>
  <c r="AN55" i="23"/>
  <c r="AP55" i="23"/>
  <c r="AQ55" i="23"/>
  <c r="AR55" i="23"/>
  <c r="AL56" i="23"/>
  <c r="AM56" i="23"/>
  <c r="AN56" i="23"/>
  <c r="AP56" i="23"/>
  <c r="AQ56" i="23"/>
  <c r="AR56" i="23"/>
  <c r="AL57" i="23"/>
  <c r="AM57" i="23"/>
  <c r="AN57" i="23"/>
  <c r="AP57" i="23"/>
  <c r="AQ57" i="23"/>
  <c r="AR57" i="23"/>
  <c r="AL58" i="23"/>
  <c r="AM58" i="23"/>
  <c r="AN58" i="23"/>
  <c r="AP58" i="23"/>
  <c r="AQ58" i="23"/>
  <c r="AR58" i="23"/>
  <c r="AL59" i="23"/>
  <c r="AM59" i="23"/>
  <c r="AN59" i="23"/>
  <c r="AP59" i="23"/>
  <c r="AQ59" i="23"/>
  <c r="AR59" i="23"/>
  <c r="AL60" i="23"/>
  <c r="AM60" i="23"/>
  <c r="AN60" i="23"/>
  <c r="AP60" i="23"/>
  <c r="AQ60" i="23"/>
  <c r="AR60" i="23"/>
  <c r="AL61" i="23"/>
  <c r="AM61" i="23"/>
  <c r="AN61" i="23"/>
  <c r="AP61" i="23"/>
  <c r="AQ61" i="23"/>
  <c r="AR61" i="23"/>
  <c r="AL62" i="23"/>
  <c r="AM62" i="23"/>
  <c r="AN62" i="23"/>
  <c r="AP62" i="23"/>
  <c r="AQ62" i="23"/>
  <c r="AR62" i="23"/>
  <c r="AL63" i="23"/>
  <c r="AM63" i="23"/>
  <c r="AN63" i="23"/>
  <c r="AP63" i="23"/>
  <c r="AQ63" i="23"/>
  <c r="AR63" i="23"/>
  <c r="AL64" i="23"/>
  <c r="AM64" i="23"/>
  <c r="AN64" i="23"/>
  <c r="AP64" i="23"/>
  <c r="AQ64" i="23"/>
  <c r="AR64" i="23"/>
  <c r="AL65" i="23"/>
  <c r="AM65" i="23"/>
  <c r="AN65" i="23"/>
  <c r="AP65" i="23"/>
  <c r="AQ65" i="23"/>
  <c r="AR65" i="23"/>
  <c r="AL66" i="23"/>
  <c r="AM66" i="23"/>
  <c r="AN66" i="23"/>
  <c r="AP66" i="23"/>
  <c r="AQ66" i="23"/>
  <c r="AR66" i="23"/>
  <c r="AL67" i="23"/>
  <c r="AM67" i="23"/>
  <c r="AN67" i="23"/>
  <c r="AP67" i="23"/>
  <c r="AQ67" i="23"/>
  <c r="AR67" i="23"/>
  <c r="AL68" i="23"/>
  <c r="AM68" i="23"/>
  <c r="AN68" i="23"/>
  <c r="AP68" i="23"/>
  <c r="AQ68" i="23"/>
  <c r="AR68" i="23"/>
  <c r="AL69" i="23"/>
  <c r="AM69" i="23"/>
  <c r="AN69" i="23"/>
  <c r="AP69" i="23"/>
  <c r="AQ69" i="23"/>
  <c r="AR69" i="23"/>
  <c r="AL70" i="23"/>
  <c r="AM70" i="23"/>
  <c r="AN70" i="23"/>
  <c r="AP70" i="23"/>
  <c r="AQ70" i="23"/>
  <c r="AR70" i="23"/>
  <c r="AL71" i="23"/>
  <c r="AM71" i="23"/>
  <c r="AN71" i="23"/>
  <c r="AP71" i="23"/>
  <c r="AQ71" i="23"/>
  <c r="AR71" i="23"/>
  <c r="AL72" i="23"/>
  <c r="AM72" i="23"/>
  <c r="AN72" i="23"/>
  <c r="AP72" i="23"/>
  <c r="AQ72" i="23"/>
  <c r="AR72" i="23"/>
  <c r="AL73" i="23"/>
  <c r="AM73" i="23"/>
  <c r="AN73" i="23"/>
  <c r="AP73" i="23"/>
  <c r="AQ73" i="23"/>
  <c r="AR73" i="23"/>
  <c r="AL74" i="23"/>
  <c r="AM74" i="23"/>
  <c r="AN74" i="23"/>
  <c r="AP74" i="23"/>
  <c r="AQ74" i="23"/>
  <c r="AR74" i="23"/>
  <c r="AL75" i="23"/>
  <c r="AM75" i="23"/>
  <c r="AN75" i="23"/>
  <c r="AP75" i="23"/>
  <c r="AQ75" i="23"/>
  <c r="AR75" i="23"/>
  <c r="AM5" i="23"/>
  <c r="AN5" i="23"/>
  <c r="AP5" i="23"/>
  <c r="AQ5" i="23"/>
  <c r="AR5" i="23"/>
  <c r="AL5" i="23"/>
  <c r="AT40" i="19"/>
  <c r="AN17" i="9"/>
  <c r="AO17" i="9"/>
  <c r="AP17" i="9"/>
  <c r="AQ17" i="9"/>
  <c r="AR17" i="9"/>
  <c r="AH6" i="9"/>
  <c r="AH7" i="9"/>
  <c r="AH8" i="9"/>
  <c r="AH9" i="9"/>
  <c r="AH10" i="9"/>
  <c r="AH11" i="9"/>
  <c r="AH12" i="9"/>
  <c r="AH13" i="9"/>
  <c r="AH14" i="9"/>
  <c r="AH16" i="9"/>
  <c r="AH17" i="9"/>
  <c r="AH18" i="9"/>
  <c r="AH19" i="9"/>
  <c r="AH20" i="9"/>
  <c r="AH5" i="9"/>
  <c r="AG5" i="9"/>
  <c r="AG18" i="9"/>
  <c r="AG19" i="9"/>
  <c r="AG20" i="9"/>
  <c r="AG6" i="9"/>
  <c r="AG7" i="9"/>
  <c r="AG8" i="9"/>
  <c r="AG9" i="9"/>
  <c r="AG10" i="9"/>
  <c r="AG11" i="9"/>
  <c r="AG12" i="9"/>
  <c r="AG13" i="9"/>
  <c r="AG14" i="9"/>
  <c r="AG16" i="9"/>
  <c r="AG17" i="9"/>
  <c r="AD15" i="9"/>
  <c r="AH15" i="9" s="1"/>
  <c r="Q86" i="9"/>
  <c r="S79" i="9"/>
  <c r="O5" i="23"/>
  <c r="R79" i="9"/>
  <c r="R86" i="9" s="1"/>
  <c r="F78" i="5"/>
  <c r="G78" i="5"/>
  <c r="F81" i="8"/>
  <c r="AR15" i="9" l="1"/>
  <c r="AQ15" i="9"/>
  <c r="AN15" i="9"/>
  <c r="AO15" i="9"/>
  <c r="AP15" i="9"/>
  <c r="AS17" i="9"/>
  <c r="AG15" i="9"/>
  <c r="AG21" i="9" s="1"/>
  <c r="AD21" i="9"/>
  <c r="AH21" i="9"/>
  <c r="AJ15" i="9" s="1"/>
  <c r="AS15" i="9" l="1"/>
  <c r="AI7" i="9"/>
  <c r="AI20" i="9"/>
  <c r="AI19" i="9"/>
  <c r="AI5" i="9"/>
  <c r="AI18" i="9"/>
  <c r="AI16" i="9"/>
  <c r="AJ11" i="9"/>
  <c r="AI17" i="9"/>
  <c r="AJ7" i="9"/>
  <c r="AI15" i="9"/>
  <c r="AJ19" i="9"/>
  <c r="AJ5" i="9"/>
  <c r="AJ6" i="9"/>
  <c r="AJ8" i="9"/>
  <c r="AJ9" i="9"/>
  <c r="AI14" i="9"/>
  <c r="AJ17" i="9"/>
  <c r="AI6" i="9"/>
  <c r="AJ10" i="9"/>
  <c r="AJ12" i="9"/>
  <c r="AJ13" i="9"/>
  <c r="AJ14" i="9"/>
  <c r="AI8" i="9"/>
  <c r="AI9" i="9"/>
  <c r="AI10" i="9"/>
  <c r="AI11" i="9"/>
  <c r="AJ16" i="9"/>
  <c r="AI12" i="9"/>
  <c r="AJ18" i="9"/>
  <c r="AI13" i="9"/>
  <c r="AJ20" i="9"/>
  <c r="AJ21" i="9" l="1"/>
  <c r="AI21" i="9"/>
  <c r="G71" i="8" l="1"/>
  <c r="AG57" i="23"/>
  <c r="AO57" i="23" s="1"/>
  <c r="AG9" i="23"/>
  <c r="AO9" i="23" s="1"/>
  <c r="AG69" i="23"/>
  <c r="AO69" i="23" s="1"/>
  <c r="AG37" i="23"/>
  <c r="AO37" i="23" s="1"/>
  <c r="AG24" i="23"/>
  <c r="AO24" i="23" s="1"/>
  <c r="AG32" i="23"/>
  <c r="AO32" i="23" s="1"/>
  <c r="AG66" i="23"/>
  <c r="AO66" i="23" s="1"/>
  <c r="AG23" i="23"/>
  <c r="AO23" i="23" s="1"/>
  <c r="AG67" i="23"/>
  <c r="AO67" i="23" s="1"/>
  <c r="AG41" i="23"/>
  <c r="AO41" i="23" s="1"/>
  <c r="AG35" i="23"/>
  <c r="AO35" i="23" s="1"/>
  <c r="AG16" i="23"/>
  <c r="AO16" i="23" s="1"/>
  <c r="AG73" i="23"/>
  <c r="AO73" i="23" s="1"/>
  <c r="AG46" i="23"/>
  <c r="AO46" i="23" s="1"/>
  <c r="AG34" i="23"/>
  <c r="AO34" i="23" s="1"/>
  <c r="AG47" i="23"/>
  <c r="AO47" i="23" s="1"/>
  <c r="AG68" i="23"/>
  <c r="AO68" i="23" s="1"/>
  <c r="AG13" i="23"/>
  <c r="AO13" i="23" s="1"/>
  <c r="AG28" i="23"/>
  <c r="AO28" i="23" s="1"/>
  <c r="AG27" i="23"/>
  <c r="AO27" i="23" s="1"/>
  <c r="AG38" i="23"/>
  <c r="AO38" i="23" s="1"/>
  <c r="AG75" i="23"/>
  <c r="AO75" i="23" s="1"/>
  <c r="AG19" i="23"/>
  <c r="AO19" i="23" s="1"/>
  <c r="AG11" i="23"/>
  <c r="AO11" i="23" s="1"/>
  <c r="AG7" i="23"/>
  <c r="AO7" i="23" s="1"/>
  <c r="AG58" i="23"/>
  <c r="AO58" i="23" s="1"/>
  <c r="AG14" i="23"/>
  <c r="AO14" i="23" s="1"/>
  <c r="AG25" i="23"/>
  <c r="AO25" i="23" s="1"/>
  <c r="AG22" i="23"/>
  <c r="AO22" i="23" s="1"/>
  <c r="AG74" i="23"/>
  <c r="AO74" i="23" s="1"/>
  <c r="AG15" i="23"/>
  <c r="AO15" i="23" s="1"/>
  <c r="AG29" i="23"/>
  <c r="AO29" i="23" s="1"/>
  <c r="AG63" i="23"/>
  <c r="AO63" i="23" s="1"/>
  <c r="AG48" i="23"/>
  <c r="AO48" i="23" s="1"/>
  <c r="AG17" i="23"/>
  <c r="AO17" i="23" s="1"/>
  <c r="AG61" i="23"/>
  <c r="AO61" i="23" s="1"/>
  <c r="AG60" i="23"/>
  <c r="AO60" i="23" s="1"/>
  <c r="AG12" i="23"/>
  <c r="AO12" i="23" s="1"/>
  <c r="AG10" i="23"/>
  <c r="AO10" i="23" s="1"/>
  <c r="AG65" i="23"/>
  <c r="AO65" i="23" s="1"/>
  <c r="AG20" i="23"/>
  <c r="AO20" i="23" s="1"/>
  <c r="AG5" i="23"/>
  <c r="AO5" i="23" s="1"/>
  <c r="AG62" i="23"/>
  <c r="AO62" i="23" s="1"/>
  <c r="AG53" i="23"/>
  <c r="AO53" i="23" s="1"/>
  <c r="AG30" i="23"/>
  <c r="AO30" i="23" s="1"/>
  <c r="AG72" i="23"/>
  <c r="AO72" i="23" s="1"/>
  <c r="AG8" i="23"/>
  <c r="AO8" i="23" s="1"/>
  <c r="AG36" i="23"/>
  <c r="AO36" i="23" s="1"/>
  <c r="AG21" i="23"/>
  <c r="AO21" i="23" s="1"/>
  <c r="AG39" i="23"/>
  <c r="AO39" i="23" s="1"/>
  <c r="AG26" i="23"/>
  <c r="AO26" i="23" s="1"/>
  <c r="AG6" i="23"/>
  <c r="AO6" i="23" s="1"/>
  <c r="AG18" i="23"/>
  <c r="AO18" i="23" s="1"/>
  <c r="AG33" i="23"/>
  <c r="AO33" i="23" s="1"/>
  <c r="AG70" i="23"/>
  <c r="AO70" i="23" s="1"/>
  <c r="AG31" i="23"/>
  <c r="AO31" i="23" s="1"/>
  <c r="AG59" i="23"/>
  <c r="AO59" i="23" s="1"/>
  <c r="AG40" i="23"/>
  <c r="AO40" i="23" s="1"/>
  <c r="AG49" i="23"/>
  <c r="AO49" i="23" s="1"/>
  <c r="AG55" i="23"/>
  <c r="AO55" i="23" s="1"/>
  <c r="AG51" i="23"/>
  <c r="AO51" i="23" s="1"/>
  <c r="AG44" i="23"/>
  <c r="AO44" i="23" s="1"/>
  <c r="AG56" i="23"/>
  <c r="AO56" i="23" s="1"/>
  <c r="AG43" i="23"/>
  <c r="AO43" i="23" s="1"/>
  <c r="AG52" i="23"/>
  <c r="AO52" i="23" s="1"/>
  <c r="AG54" i="23"/>
  <c r="AO54" i="23" s="1"/>
  <c r="AG42" i="23"/>
  <c r="AO42" i="23" s="1"/>
  <c r="AG50" i="23"/>
  <c r="AO50" i="23" s="1"/>
  <c r="AG64" i="23"/>
  <c r="AO64" i="23" s="1"/>
  <c r="AG45" i="23"/>
  <c r="AO45" i="23" s="1"/>
  <c r="AG71" i="23"/>
  <c r="AO71" i="23" s="1"/>
  <c r="F5" i="2"/>
  <c r="G81" i="23"/>
  <c r="H81" i="23"/>
  <c r="I81" i="23"/>
  <c r="J81" i="23"/>
  <c r="K81" i="23"/>
  <c r="L81" i="23"/>
  <c r="F82" i="23"/>
  <c r="F81" i="23"/>
  <c r="G84" i="23"/>
  <c r="H84" i="23"/>
  <c r="I84" i="23"/>
  <c r="J84" i="23"/>
  <c r="K84" i="23"/>
  <c r="L84" i="23"/>
  <c r="G83" i="23"/>
  <c r="H83" i="23"/>
  <c r="I83" i="23"/>
  <c r="J83" i="23"/>
  <c r="K83" i="23"/>
  <c r="L83" i="23"/>
  <c r="F84" i="23"/>
  <c r="F83" i="23"/>
  <c r="G82" i="23"/>
  <c r="H82" i="23"/>
  <c r="I82" i="23"/>
  <c r="J82" i="23"/>
  <c r="K82" i="23"/>
  <c r="L82" i="23"/>
  <c r="BP10" i="23" l="1"/>
  <c r="BQ10" i="23"/>
  <c r="BR10" i="23"/>
  <c r="BS10" i="23"/>
  <c r="BT10" i="23"/>
  <c r="BU10" i="23"/>
  <c r="BP9" i="23"/>
  <c r="BQ9" i="23"/>
  <c r="BR9" i="23"/>
  <c r="BS9" i="23"/>
  <c r="BT9" i="23"/>
  <c r="BU9" i="23"/>
  <c r="BP8" i="23"/>
  <c r="BQ8" i="23"/>
  <c r="BR8" i="23"/>
  <c r="BS8" i="23"/>
  <c r="BT8" i="23"/>
  <c r="BU8" i="23"/>
  <c r="BP7" i="23"/>
  <c r="BQ7" i="23"/>
  <c r="BR7" i="23"/>
  <c r="BS7" i="23"/>
  <c r="BT7" i="23"/>
  <c r="BU7" i="23"/>
  <c r="BP6" i="23"/>
  <c r="BQ6" i="23"/>
  <c r="BR6" i="23"/>
  <c r="BS6" i="23"/>
  <c r="BT6" i="23"/>
  <c r="BU6" i="23"/>
  <c r="BO10" i="23"/>
  <c r="BO9" i="23"/>
  <c r="BO8" i="23"/>
  <c r="BO7" i="23"/>
  <c r="BO6" i="23"/>
  <c r="AN5" i="9"/>
  <c r="F67" i="4"/>
  <c r="G67" i="4" s="1"/>
  <c r="H92" i="23"/>
  <c r="Q79" i="9"/>
  <c r="G92" i="23"/>
  <c r="G93" i="23" s="1"/>
  <c r="Z71" i="23"/>
  <c r="Z42" i="23"/>
  <c r="Z43" i="23"/>
  <c r="Z47" i="23"/>
  <c r="Z51" i="23"/>
  <c r="Z31" i="23"/>
  <c r="Z34" i="23"/>
  <c r="Z36" i="23"/>
  <c r="Z40" i="23"/>
  <c r="Z14" i="23"/>
  <c r="Z8" i="23"/>
  <c r="Z9" i="23"/>
  <c r="Z25" i="23"/>
  <c r="Z26" i="23"/>
  <c r="Z41" i="23"/>
  <c r="Z27" i="23"/>
  <c r="Z28" i="23"/>
  <c r="Z29" i="23"/>
  <c r="Z10" i="23"/>
  <c r="Z11" i="23"/>
  <c r="Z5" i="23"/>
  <c r="Z15" i="23"/>
  <c r="Z38" i="23"/>
  <c r="Z39" i="23"/>
  <c r="Z37" i="23"/>
  <c r="Z52" i="23"/>
  <c r="Z44" i="23"/>
  <c r="Z48" i="23"/>
  <c r="Z53" i="23"/>
  <c r="Z58" i="23"/>
  <c r="Z19" i="23"/>
  <c r="Z54" i="23"/>
  <c r="Z35" i="23"/>
  <c r="Z55" i="23"/>
  <c r="Z6" i="23"/>
  <c r="Z20" i="23"/>
  <c r="Z16" i="23"/>
  <c r="Z59" i="23"/>
  <c r="Z60" i="23"/>
  <c r="Z68" i="23"/>
  <c r="Z61" i="23"/>
  <c r="Z72" i="23"/>
  <c r="Z62" i="23"/>
  <c r="Z21" i="23"/>
  <c r="Z73" i="23"/>
  <c r="Z32" i="23"/>
  <c r="Z56" i="23"/>
  <c r="Z49" i="23"/>
  <c r="Z45" i="23"/>
  <c r="Z22" i="23"/>
  <c r="Z23" i="23"/>
  <c r="Z57" i="23"/>
  <c r="Z69" i="23"/>
  <c r="Z24" i="23"/>
  <c r="Z17" i="23"/>
  <c r="Z12" i="23"/>
  <c r="Z7" i="23"/>
  <c r="Z13" i="23"/>
  <c r="Z18" i="23"/>
  <c r="Z33" i="23"/>
  <c r="Z30" i="23"/>
  <c r="Z50" i="23"/>
  <c r="Z46" i="23"/>
  <c r="Z70" i="23"/>
  <c r="Z63" i="23"/>
  <c r="Z64" i="23"/>
  <c r="Z74" i="23"/>
  <c r="Z75" i="23"/>
  <c r="Z65" i="23"/>
  <c r="Z66" i="23"/>
  <c r="Z67" i="23"/>
  <c r="W67" i="23"/>
  <c r="X67" i="23"/>
  <c r="Y67" i="23"/>
  <c r="AA67" i="23"/>
  <c r="AB67" i="23"/>
  <c r="W71" i="23"/>
  <c r="X71" i="23"/>
  <c r="Y71" i="23"/>
  <c r="AA71" i="23"/>
  <c r="AB71" i="23"/>
  <c r="W42" i="23"/>
  <c r="X42" i="23"/>
  <c r="Y42" i="23"/>
  <c r="AA42" i="23"/>
  <c r="AB42" i="23"/>
  <c r="W43" i="23"/>
  <c r="X43" i="23"/>
  <c r="Y43" i="23"/>
  <c r="AA43" i="23"/>
  <c r="AB43" i="23"/>
  <c r="W47" i="23"/>
  <c r="X47" i="23"/>
  <c r="Y47" i="23"/>
  <c r="AA47" i="23"/>
  <c r="AB47" i="23"/>
  <c r="W51" i="23"/>
  <c r="X51" i="23"/>
  <c r="Y51" i="23"/>
  <c r="AA51" i="23"/>
  <c r="AB51" i="23"/>
  <c r="W31" i="23"/>
  <c r="X31" i="23"/>
  <c r="Y31" i="23"/>
  <c r="AA31" i="23"/>
  <c r="AB31" i="23"/>
  <c r="W34" i="23"/>
  <c r="X34" i="23"/>
  <c r="Y34" i="23"/>
  <c r="AA34" i="23"/>
  <c r="AB34" i="23"/>
  <c r="W36" i="23"/>
  <c r="X36" i="23"/>
  <c r="Y36" i="23"/>
  <c r="AA36" i="23"/>
  <c r="AB36" i="23"/>
  <c r="W40" i="23"/>
  <c r="X40" i="23"/>
  <c r="Y40" i="23"/>
  <c r="AA40" i="23"/>
  <c r="AB40" i="23"/>
  <c r="W14" i="23"/>
  <c r="X14" i="23"/>
  <c r="Y14" i="23"/>
  <c r="AA14" i="23"/>
  <c r="AB14" i="23"/>
  <c r="W8" i="23"/>
  <c r="X8" i="23"/>
  <c r="Y8" i="23"/>
  <c r="AA8" i="23"/>
  <c r="AB8" i="23"/>
  <c r="W9" i="23"/>
  <c r="X9" i="23"/>
  <c r="Y9" i="23"/>
  <c r="AA9" i="23"/>
  <c r="AB9" i="23"/>
  <c r="W25" i="23"/>
  <c r="X25" i="23"/>
  <c r="Y25" i="23"/>
  <c r="AA25" i="23"/>
  <c r="AB25" i="23"/>
  <c r="W26" i="23"/>
  <c r="X26" i="23"/>
  <c r="Y26" i="23"/>
  <c r="AA26" i="23"/>
  <c r="AB26" i="23"/>
  <c r="W41" i="23"/>
  <c r="X41" i="23"/>
  <c r="Y41" i="23"/>
  <c r="AA41" i="23"/>
  <c r="AB41" i="23"/>
  <c r="W27" i="23"/>
  <c r="X27" i="23"/>
  <c r="Y27" i="23"/>
  <c r="AA27" i="23"/>
  <c r="AB27" i="23"/>
  <c r="W28" i="23"/>
  <c r="X28" i="23"/>
  <c r="Y28" i="23"/>
  <c r="AA28" i="23"/>
  <c r="AB28" i="23"/>
  <c r="W29" i="23"/>
  <c r="X29" i="23"/>
  <c r="Y29" i="23"/>
  <c r="AA29" i="23"/>
  <c r="AB29" i="23"/>
  <c r="W10" i="23"/>
  <c r="X10" i="23"/>
  <c r="Y10" i="23"/>
  <c r="AA10" i="23"/>
  <c r="AB10" i="23"/>
  <c r="W11" i="23"/>
  <c r="X11" i="23"/>
  <c r="Y11" i="23"/>
  <c r="AA11" i="23"/>
  <c r="AB11" i="23"/>
  <c r="W5" i="23"/>
  <c r="X5" i="23"/>
  <c r="Y5" i="23"/>
  <c r="AA5" i="23"/>
  <c r="AB5" i="23"/>
  <c r="W15" i="23"/>
  <c r="X15" i="23"/>
  <c r="Y15" i="23"/>
  <c r="AA15" i="23"/>
  <c r="AB15" i="23"/>
  <c r="W38" i="23"/>
  <c r="X38" i="23"/>
  <c r="Y38" i="23"/>
  <c r="AA38" i="23"/>
  <c r="AB38" i="23"/>
  <c r="W39" i="23"/>
  <c r="X39" i="23"/>
  <c r="Y39" i="23"/>
  <c r="AA39" i="23"/>
  <c r="AB39" i="23"/>
  <c r="W37" i="23"/>
  <c r="X37" i="23"/>
  <c r="Y37" i="23"/>
  <c r="AA37" i="23"/>
  <c r="AB37" i="23"/>
  <c r="W52" i="23"/>
  <c r="X52" i="23"/>
  <c r="Y52" i="23"/>
  <c r="AA52" i="23"/>
  <c r="AB52" i="23"/>
  <c r="W44" i="23"/>
  <c r="X44" i="23"/>
  <c r="Y44" i="23"/>
  <c r="AA44" i="23"/>
  <c r="AB44" i="23"/>
  <c r="W48" i="23"/>
  <c r="X48" i="23"/>
  <c r="Y48" i="23"/>
  <c r="AA48" i="23"/>
  <c r="AB48" i="23"/>
  <c r="W53" i="23"/>
  <c r="X53" i="23"/>
  <c r="Y53" i="23"/>
  <c r="AA53" i="23"/>
  <c r="AB53" i="23"/>
  <c r="W58" i="23"/>
  <c r="X58" i="23"/>
  <c r="Y58" i="23"/>
  <c r="AA58" i="23"/>
  <c r="AB58" i="23"/>
  <c r="W19" i="23"/>
  <c r="X19" i="23"/>
  <c r="Y19" i="23"/>
  <c r="AA19" i="23"/>
  <c r="AB19" i="23"/>
  <c r="W54" i="23"/>
  <c r="X54" i="23"/>
  <c r="Y54" i="23"/>
  <c r="AA54" i="23"/>
  <c r="AB54" i="23"/>
  <c r="W35" i="23"/>
  <c r="X35" i="23"/>
  <c r="Y35" i="23"/>
  <c r="AA35" i="23"/>
  <c r="AB35" i="23"/>
  <c r="W55" i="23"/>
  <c r="X55" i="23"/>
  <c r="Y55" i="23"/>
  <c r="AA55" i="23"/>
  <c r="AB55" i="23"/>
  <c r="W6" i="23"/>
  <c r="X6" i="23"/>
  <c r="Y6" i="23"/>
  <c r="AA6" i="23"/>
  <c r="AB6" i="23"/>
  <c r="W20" i="23"/>
  <c r="X20" i="23"/>
  <c r="Y20" i="23"/>
  <c r="AA20" i="23"/>
  <c r="AB20" i="23"/>
  <c r="W16" i="23"/>
  <c r="X16" i="23"/>
  <c r="Y16" i="23"/>
  <c r="AA16" i="23"/>
  <c r="AB16" i="23"/>
  <c r="W59" i="23"/>
  <c r="X59" i="23"/>
  <c r="Y59" i="23"/>
  <c r="AA59" i="23"/>
  <c r="AB59" i="23"/>
  <c r="W60" i="23"/>
  <c r="X60" i="23"/>
  <c r="Y60" i="23"/>
  <c r="AA60" i="23"/>
  <c r="AB60" i="23"/>
  <c r="W68" i="23"/>
  <c r="X68" i="23"/>
  <c r="Y68" i="23"/>
  <c r="AA68" i="23"/>
  <c r="AB68" i="23"/>
  <c r="W61" i="23"/>
  <c r="X61" i="23"/>
  <c r="Y61" i="23"/>
  <c r="AA61" i="23"/>
  <c r="AB61" i="23"/>
  <c r="W72" i="23"/>
  <c r="X72" i="23"/>
  <c r="Y72" i="23"/>
  <c r="AA72" i="23"/>
  <c r="AB72" i="23"/>
  <c r="W62" i="23"/>
  <c r="X62" i="23"/>
  <c r="Y62" i="23"/>
  <c r="AA62" i="23"/>
  <c r="AB62" i="23"/>
  <c r="W21" i="23"/>
  <c r="X21" i="23"/>
  <c r="Y21" i="23"/>
  <c r="AA21" i="23"/>
  <c r="AB21" i="23"/>
  <c r="W73" i="23"/>
  <c r="X73" i="23"/>
  <c r="Y73" i="23"/>
  <c r="AA73" i="23"/>
  <c r="AB73" i="23"/>
  <c r="W32" i="23"/>
  <c r="X32" i="23"/>
  <c r="Y32" i="23"/>
  <c r="AA32" i="23"/>
  <c r="AB32" i="23"/>
  <c r="W56" i="23"/>
  <c r="X56" i="23"/>
  <c r="Y56" i="23"/>
  <c r="AA56" i="23"/>
  <c r="AB56" i="23"/>
  <c r="W49" i="23"/>
  <c r="X49" i="23"/>
  <c r="Y49" i="23"/>
  <c r="AA49" i="23"/>
  <c r="AB49" i="23"/>
  <c r="W45" i="23"/>
  <c r="X45" i="23"/>
  <c r="Y45" i="23"/>
  <c r="AA45" i="23"/>
  <c r="AB45" i="23"/>
  <c r="W22" i="23"/>
  <c r="X22" i="23"/>
  <c r="Y22" i="23"/>
  <c r="AA22" i="23"/>
  <c r="AB22" i="23"/>
  <c r="W23" i="23"/>
  <c r="X23" i="23"/>
  <c r="Y23" i="23"/>
  <c r="AA23" i="23"/>
  <c r="AB23" i="23"/>
  <c r="W57" i="23"/>
  <c r="X57" i="23"/>
  <c r="Y57" i="23"/>
  <c r="AA57" i="23"/>
  <c r="AB57" i="23"/>
  <c r="W69" i="23"/>
  <c r="X69" i="23"/>
  <c r="Y69" i="23"/>
  <c r="AA69" i="23"/>
  <c r="AB69" i="23"/>
  <c r="W24" i="23"/>
  <c r="X24" i="23"/>
  <c r="Y24" i="23"/>
  <c r="AA24" i="23"/>
  <c r="AB24" i="23"/>
  <c r="W17" i="23"/>
  <c r="X17" i="23"/>
  <c r="Y17" i="23"/>
  <c r="AA17" i="23"/>
  <c r="AB17" i="23"/>
  <c r="W12" i="23"/>
  <c r="X12" i="23"/>
  <c r="Y12" i="23"/>
  <c r="AA12" i="23"/>
  <c r="AB12" i="23"/>
  <c r="W7" i="23"/>
  <c r="X7" i="23"/>
  <c r="Y7" i="23"/>
  <c r="AA7" i="23"/>
  <c r="AB7" i="23"/>
  <c r="W13" i="23"/>
  <c r="X13" i="23"/>
  <c r="Y13" i="23"/>
  <c r="AA13" i="23"/>
  <c r="AB13" i="23"/>
  <c r="W18" i="23"/>
  <c r="X18" i="23"/>
  <c r="Y18" i="23"/>
  <c r="AA18" i="23"/>
  <c r="AB18" i="23"/>
  <c r="W33" i="23"/>
  <c r="X33" i="23"/>
  <c r="Y33" i="23"/>
  <c r="AA33" i="23"/>
  <c r="AB33" i="23"/>
  <c r="W30" i="23"/>
  <c r="X30" i="23"/>
  <c r="Y30" i="23"/>
  <c r="AA30" i="23"/>
  <c r="AB30" i="23"/>
  <c r="W50" i="23"/>
  <c r="X50" i="23"/>
  <c r="Y50" i="23"/>
  <c r="AA50" i="23"/>
  <c r="AB50" i="23"/>
  <c r="W46" i="23"/>
  <c r="X46" i="23"/>
  <c r="Y46" i="23"/>
  <c r="AA46" i="23"/>
  <c r="AB46" i="23"/>
  <c r="W70" i="23"/>
  <c r="X70" i="23"/>
  <c r="Y70" i="23"/>
  <c r="AA70" i="23"/>
  <c r="AB70" i="23"/>
  <c r="W63" i="23"/>
  <c r="X63" i="23"/>
  <c r="Y63" i="23"/>
  <c r="AA63" i="23"/>
  <c r="AB63" i="23"/>
  <c r="W64" i="23"/>
  <c r="X64" i="23"/>
  <c r="Y64" i="23"/>
  <c r="AA64" i="23"/>
  <c r="AB64" i="23"/>
  <c r="W74" i="23"/>
  <c r="X74" i="23"/>
  <c r="Y74" i="23"/>
  <c r="AA74" i="23"/>
  <c r="AB74" i="23"/>
  <c r="W75" i="23"/>
  <c r="X75" i="23"/>
  <c r="Y75" i="23"/>
  <c r="AA75" i="23"/>
  <c r="AB75" i="23"/>
  <c r="W65" i="23"/>
  <c r="X65" i="23"/>
  <c r="Y65" i="23"/>
  <c r="AA65" i="23"/>
  <c r="AB65" i="23"/>
  <c r="W66" i="23"/>
  <c r="X66" i="23"/>
  <c r="Y66" i="23"/>
  <c r="AA66" i="23"/>
  <c r="AB66" i="23"/>
  <c r="V71" i="23"/>
  <c r="V42" i="23"/>
  <c r="V43" i="23"/>
  <c r="V47" i="23"/>
  <c r="V51" i="23"/>
  <c r="V31" i="23"/>
  <c r="V34" i="23"/>
  <c r="V36" i="23"/>
  <c r="V40" i="23"/>
  <c r="V14" i="23"/>
  <c r="V8" i="23"/>
  <c r="V9" i="23"/>
  <c r="V25" i="23"/>
  <c r="V26" i="23"/>
  <c r="V41" i="23"/>
  <c r="V27" i="23"/>
  <c r="V28" i="23"/>
  <c r="V29" i="23"/>
  <c r="V10" i="23"/>
  <c r="V11" i="23"/>
  <c r="V5" i="23"/>
  <c r="V15" i="23"/>
  <c r="V38" i="23"/>
  <c r="V39" i="23"/>
  <c r="V37" i="23"/>
  <c r="V52" i="23"/>
  <c r="V44" i="23"/>
  <c r="V48" i="23"/>
  <c r="V53" i="23"/>
  <c r="V58" i="23"/>
  <c r="V19" i="23"/>
  <c r="V54" i="23"/>
  <c r="V35" i="23"/>
  <c r="V55" i="23"/>
  <c r="V6" i="23"/>
  <c r="V20" i="23"/>
  <c r="V16" i="23"/>
  <c r="V59" i="23"/>
  <c r="V60" i="23"/>
  <c r="V68" i="23"/>
  <c r="V61" i="23"/>
  <c r="V72" i="23"/>
  <c r="V62" i="23"/>
  <c r="V21" i="23"/>
  <c r="V73" i="23"/>
  <c r="V32" i="23"/>
  <c r="V56" i="23"/>
  <c r="V49" i="23"/>
  <c r="V45" i="23"/>
  <c r="V22" i="23"/>
  <c r="V23" i="23"/>
  <c r="V57" i="23"/>
  <c r="V69" i="23"/>
  <c r="V24" i="23"/>
  <c r="V17" i="23"/>
  <c r="V12" i="23"/>
  <c r="V7" i="23"/>
  <c r="V13" i="23"/>
  <c r="V18" i="23"/>
  <c r="V33" i="23"/>
  <c r="V30" i="23"/>
  <c r="V50" i="23"/>
  <c r="V46" i="23"/>
  <c r="V70" i="23"/>
  <c r="V63" i="23"/>
  <c r="V64" i="23"/>
  <c r="V74" i="23"/>
  <c r="V75" i="23"/>
  <c r="V65" i="23"/>
  <c r="V66" i="23"/>
  <c r="V67" i="23"/>
  <c r="O67" i="23"/>
  <c r="P67" i="23"/>
  <c r="Q67" i="23"/>
  <c r="R67" i="23"/>
  <c r="AX67" i="23" s="1"/>
  <c r="S67" i="23"/>
  <c r="T67" i="23"/>
  <c r="O71" i="23"/>
  <c r="P71" i="23"/>
  <c r="Q71" i="23"/>
  <c r="R71" i="23"/>
  <c r="S71" i="23"/>
  <c r="T71" i="23"/>
  <c r="O42" i="23"/>
  <c r="P42" i="23"/>
  <c r="Q42" i="23"/>
  <c r="R42" i="23"/>
  <c r="AX42" i="23" s="1"/>
  <c r="S42" i="23"/>
  <c r="T42" i="23"/>
  <c r="O43" i="23"/>
  <c r="P43" i="23"/>
  <c r="Q43" i="23"/>
  <c r="R43" i="23"/>
  <c r="AX43" i="23" s="1"/>
  <c r="S43" i="23"/>
  <c r="T43" i="23"/>
  <c r="O47" i="23"/>
  <c r="P47" i="23"/>
  <c r="Q47" i="23"/>
  <c r="R47" i="23"/>
  <c r="AX47" i="23" s="1"/>
  <c r="S47" i="23"/>
  <c r="T47" i="23"/>
  <c r="O51" i="23"/>
  <c r="P51" i="23"/>
  <c r="Q51" i="23"/>
  <c r="R51" i="23"/>
  <c r="AX51" i="23" s="1"/>
  <c r="S51" i="23"/>
  <c r="T51" i="23"/>
  <c r="O31" i="23"/>
  <c r="P31" i="23"/>
  <c r="Q31" i="23"/>
  <c r="R31" i="23"/>
  <c r="AX31" i="23" s="1"/>
  <c r="S31" i="23"/>
  <c r="T31" i="23"/>
  <c r="O34" i="23"/>
  <c r="P34" i="23"/>
  <c r="Q34" i="23"/>
  <c r="R34" i="23"/>
  <c r="AX34" i="23" s="1"/>
  <c r="S34" i="23"/>
  <c r="T34" i="23"/>
  <c r="O36" i="23"/>
  <c r="P36" i="23"/>
  <c r="Q36" i="23"/>
  <c r="R36" i="23"/>
  <c r="AX36" i="23" s="1"/>
  <c r="S36" i="23"/>
  <c r="T36" i="23"/>
  <c r="O40" i="23"/>
  <c r="P40" i="23"/>
  <c r="Q40" i="23"/>
  <c r="R40" i="23"/>
  <c r="AX40" i="23" s="1"/>
  <c r="S40" i="23"/>
  <c r="T40" i="23"/>
  <c r="O14" i="23"/>
  <c r="P14" i="23"/>
  <c r="Q14" i="23"/>
  <c r="R14" i="23"/>
  <c r="AX14" i="23" s="1"/>
  <c r="S14" i="23"/>
  <c r="T14" i="23"/>
  <c r="O8" i="23"/>
  <c r="P8" i="23"/>
  <c r="Q8" i="23"/>
  <c r="R8" i="23"/>
  <c r="AX8" i="23" s="1"/>
  <c r="S8" i="23"/>
  <c r="T8" i="23"/>
  <c r="O9" i="23"/>
  <c r="P9" i="23"/>
  <c r="Q9" i="23"/>
  <c r="R9" i="23"/>
  <c r="AX9" i="23" s="1"/>
  <c r="S9" i="23"/>
  <c r="T9" i="23"/>
  <c r="O25" i="23"/>
  <c r="P25" i="23"/>
  <c r="Q25" i="23"/>
  <c r="R25" i="23"/>
  <c r="AX25" i="23" s="1"/>
  <c r="S25" i="23"/>
  <c r="T25" i="23"/>
  <c r="O26" i="23"/>
  <c r="P26" i="23"/>
  <c r="Q26" i="23"/>
  <c r="R26" i="23"/>
  <c r="AX26" i="23" s="1"/>
  <c r="S26" i="23"/>
  <c r="T26" i="23"/>
  <c r="O41" i="23"/>
  <c r="P41" i="23"/>
  <c r="Q41" i="23"/>
  <c r="R41" i="23"/>
  <c r="AX41" i="23" s="1"/>
  <c r="S41" i="23"/>
  <c r="T41" i="23"/>
  <c r="O27" i="23"/>
  <c r="P27" i="23"/>
  <c r="Q27" i="23"/>
  <c r="R27" i="23"/>
  <c r="AX27" i="23" s="1"/>
  <c r="S27" i="23"/>
  <c r="T27" i="23"/>
  <c r="O28" i="23"/>
  <c r="P28" i="23"/>
  <c r="Q28" i="23"/>
  <c r="R28" i="23"/>
  <c r="AX28" i="23" s="1"/>
  <c r="S28" i="23"/>
  <c r="T28" i="23"/>
  <c r="O29" i="23"/>
  <c r="P29" i="23"/>
  <c r="Q29" i="23"/>
  <c r="R29" i="23"/>
  <c r="AX29" i="23" s="1"/>
  <c r="S29" i="23"/>
  <c r="T29" i="23"/>
  <c r="O10" i="23"/>
  <c r="P10" i="23"/>
  <c r="Q10" i="23"/>
  <c r="R10" i="23"/>
  <c r="AX10" i="23" s="1"/>
  <c r="S10" i="23"/>
  <c r="T10" i="23"/>
  <c r="O11" i="23"/>
  <c r="P11" i="23"/>
  <c r="Q11" i="23"/>
  <c r="R11" i="23"/>
  <c r="AX11" i="23" s="1"/>
  <c r="S11" i="23"/>
  <c r="T11" i="23"/>
  <c r="P5" i="23"/>
  <c r="Q5" i="23"/>
  <c r="R5" i="23"/>
  <c r="S5" i="23"/>
  <c r="T5" i="23"/>
  <c r="O15" i="23"/>
  <c r="P15" i="23"/>
  <c r="Q15" i="23"/>
  <c r="R15" i="23"/>
  <c r="AX15" i="23" s="1"/>
  <c r="S15" i="23"/>
  <c r="T15" i="23"/>
  <c r="O38" i="23"/>
  <c r="P38" i="23"/>
  <c r="Q38" i="23"/>
  <c r="R38" i="23"/>
  <c r="AX38" i="23" s="1"/>
  <c r="S38" i="23"/>
  <c r="T38" i="23"/>
  <c r="O39" i="23"/>
  <c r="P39" i="23"/>
  <c r="Q39" i="23"/>
  <c r="R39" i="23"/>
  <c r="AX39" i="23" s="1"/>
  <c r="S39" i="23"/>
  <c r="T39" i="23"/>
  <c r="O37" i="23"/>
  <c r="P37" i="23"/>
  <c r="Q37" i="23"/>
  <c r="R37" i="23"/>
  <c r="AX37" i="23" s="1"/>
  <c r="S37" i="23"/>
  <c r="T37" i="23"/>
  <c r="O52" i="23"/>
  <c r="P52" i="23"/>
  <c r="Q52" i="23"/>
  <c r="R52" i="23"/>
  <c r="AX52" i="23" s="1"/>
  <c r="S52" i="23"/>
  <c r="T52" i="23"/>
  <c r="O44" i="23"/>
  <c r="P44" i="23"/>
  <c r="Q44" i="23"/>
  <c r="R44" i="23"/>
  <c r="AX44" i="23" s="1"/>
  <c r="S44" i="23"/>
  <c r="T44" i="23"/>
  <c r="O48" i="23"/>
  <c r="P48" i="23"/>
  <c r="Q48" i="23"/>
  <c r="R48" i="23"/>
  <c r="AX48" i="23" s="1"/>
  <c r="S48" i="23"/>
  <c r="T48" i="23"/>
  <c r="O53" i="23"/>
  <c r="P53" i="23"/>
  <c r="Q53" i="23"/>
  <c r="R53" i="23"/>
  <c r="AX53" i="23" s="1"/>
  <c r="S53" i="23"/>
  <c r="T53" i="23"/>
  <c r="O58" i="23"/>
  <c r="P58" i="23"/>
  <c r="Q58" i="23"/>
  <c r="R58" i="23"/>
  <c r="AX58" i="23" s="1"/>
  <c r="S58" i="23"/>
  <c r="T58" i="23"/>
  <c r="O19" i="23"/>
  <c r="P19" i="23"/>
  <c r="Q19" i="23"/>
  <c r="R19" i="23"/>
  <c r="AX19" i="23" s="1"/>
  <c r="S19" i="23"/>
  <c r="T19" i="23"/>
  <c r="O54" i="23"/>
  <c r="P54" i="23"/>
  <c r="Q54" i="23"/>
  <c r="R54" i="23"/>
  <c r="AX54" i="23" s="1"/>
  <c r="S54" i="23"/>
  <c r="T54" i="23"/>
  <c r="O35" i="23"/>
  <c r="P35" i="23"/>
  <c r="Q35" i="23"/>
  <c r="R35" i="23"/>
  <c r="AX35" i="23" s="1"/>
  <c r="S35" i="23"/>
  <c r="T35" i="23"/>
  <c r="O55" i="23"/>
  <c r="P55" i="23"/>
  <c r="Q55" i="23"/>
  <c r="R55" i="23"/>
  <c r="AX55" i="23" s="1"/>
  <c r="S55" i="23"/>
  <c r="T55" i="23"/>
  <c r="O6" i="23"/>
  <c r="P6" i="23"/>
  <c r="Q6" i="23"/>
  <c r="R6" i="23"/>
  <c r="AX6" i="23" s="1"/>
  <c r="S6" i="23"/>
  <c r="T6" i="23"/>
  <c r="O20" i="23"/>
  <c r="P20" i="23"/>
  <c r="Q20" i="23"/>
  <c r="R20" i="23"/>
  <c r="AX20" i="23" s="1"/>
  <c r="S20" i="23"/>
  <c r="T20" i="23"/>
  <c r="O16" i="23"/>
  <c r="P16" i="23"/>
  <c r="Q16" i="23"/>
  <c r="R16" i="23"/>
  <c r="AX16" i="23" s="1"/>
  <c r="S16" i="23"/>
  <c r="T16" i="23"/>
  <c r="O59" i="23"/>
  <c r="P59" i="23"/>
  <c r="Q59" i="23"/>
  <c r="R59" i="23"/>
  <c r="AX59" i="23" s="1"/>
  <c r="S59" i="23"/>
  <c r="T59" i="23"/>
  <c r="O60" i="23"/>
  <c r="P60" i="23"/>
  <c r="Q60" i="23"/>
  <c r="R60" i="23"/>
  <c r="AX60" i="23" s="1"/>
  <c r="S60" i="23"/>
  <c r="T60" i="23"/>
  <c r="O68" i="23"/>
  <c r="P68" i="23"/>
  <c r="Q68" i="23"/>
  <c r="R68" i="23"/>
  <c r="AX68" i="23" s="1"/>
  <c r="S68" i="23"/>
  <c r="T68" i="23"/>
  <c r="O61" i="23"/>
  <c r="P61" i="23"/>
  <c r="Q61" i="23"/>
  <c r="R61" i="23"/>
  <c r="AX61" i="23" s="1"/>
  <c r="S61" i="23"/>
  <c r="T61" i="23"/>
  <c r="O72" i="23"/>
  <c r="P72" i="23"/>
  <c r="Q72" i="23"/>
  <c r="R72" i="23"/>
  <c r="AX72" i="23" s="1"/>
  <c r="S72" i="23"/>
  <c r="T72" i="23"/>
  <c r="O62" i="23"/>
  <c r="P62" i="23"/>
  <c r="Q62" i="23"/>
  <c r="R62" i="23"/>
  <c r="AX62" i="23" s="1"/>
  <c r="S62" i="23"/>
  <c r="T62" i="23"/>
  <c r="O21" i="23"/>
  <c r="P21" i="23"/>
  <c r="Q21" i="23"/>
  <c r="R21" i="23"/>
  <c r="AX21" i="23" s="1"/>
  <c r="S21" i="23"/>
  <c r="T21" i="23"/>
  <c r="O73" i="23"/>
  <c r="P73" i="23"/>
  <c r="Q73" i="23"/>
  <c r="R73" i="23"/>
  <c r="AX73" i="23" s="1"/>
  <c r="S73" i="23"/>
  <c r="T73" i="23"/>
  <c r="O32" i="23"/>
  <c r="P32" i="23"/>
  <c r="Q32" i="23"/>
  <c r="R32" i="23"/>
  <c r="AX32" i="23" s="1"/>
  <c r="S32" i="23"/>
  <c r="T32" i="23"/>
  <c r="O56" i="23"/>
  <c r="P56" i="23"/>
  <c r="Q56" i="23"/>
  <c r="R56" i="23"/>
  <c r="AX56" i="23" s="1"/>
  <c r="S56" i="23"/>
  <c r="T56" i="23"/>
  <c r="O49" i="23"/>
  <c r="P49" i="23"/>
  <c r="Q49" i="23"/>
  <c r="R49" i="23"/>
  <c r="AX49" i="23" s="1"/>
  <c r="S49" i="23"/>
  <c r="T49" i="23"/>
  <c r="O45" i="23"/>
  <c r="P45" i="23"/>
  <c r="Q45" i="23"/>
  <c r="R45" i="23"/>
  <c r="AX45" i="23" s="1"/>
  <c r="S45" i="23"/>
  <c r="T45" i="23"/>
  <c r="O22" i="23"/>
  <c r="P22" i="23"/>
  <c r="Q22" i="23"/>
  <c r="R22" i="23"/>
  <c r="AX22" i="23" s="1"/>
  <c r="S22" i="23"/>
  <c r="T22" i="23"/>
  <c r="O23" i="23"/>
  <c r="P23" i="23"/>
  <c r="Q23" i="23"/>
  <c r="R23" i="23"/>
  <c r="AX23" i="23" s="1"/>
  <c r="S23" i="23"/>
  <c r="T23" i="23"/>
  <c r="O57" i="23"/>
  <c r="P57" i="23"/>
  <c r="Q57" i="23"/>
  <c r="R57" i="23"/>
  <c r="AX57" i="23" s="1"/>
  <c r="S57" i="23"/>
  <c r="T57" i="23"/>
  <c r="O69" i="23"/>
  <c r="P69" i="23"/>
  <c r="Q69" i="23"/>
  <c r="R69" i="23"/>
  <c r="AX69" i="23" s="1"/>
  <c r="S69" i="23"/>
  <c r="T69" i="23"/>
  <c r="O24" i="23"/>
  <c r="P24" i="23"/>
  <c r="Q24" i="23"/>
  <c r="R24" i="23"/>
  <c r="AX24" i="23" s="1"/>
  <c r="S24" i="23"/>
  <c r="T24" i="23"/>
  <c r="O17" i="23"/>
  <c r="P17" i="23"/>
  <c r="Q17" i="23"/>
  <c r="R17" i="23"/>
  <c r="AX17" i="23" s="1"/>
  <c r="S17" i="23"/>
  <c r="T17" i="23"/>
  <c r="O12" i="23"/>
  <c r="P12" i="23"/>
  <c r="Q12" i="23"/>
  <c r="R12" i="23"/>
  <c r="AX12" i="23" s="1"/>
  <c r="S12" i="23"/>
  <c r="T12" i="23"/>
  <c r="O7" i="23"/>
  <c r="P7" i="23"/>
  <c r="Q7" i="23"/>
  <c r="R7" i="23"/>
  <c r="AX7" i="23" s="1"/>
  <c r="S7" i="23"/>
  <c r="T7" i="23"/>
  <c r="O13" i="23"/>
  <c r="P13" i="23"/>
  <c r="Q13" i="23"/>
  <c r="R13" i="23"/>
  <c r="AX13" i="23" s="1"/>
  <c r="S13" i="23"/>
  <c r="T13" i="23"/>
  <c r="O18" i="23"/>
  <c r="P18" i="23"/>
  <c r="Q18" i="23"/>
  <c r="R18" i="23"/>
  <c r="AX18" i="23" s="1"/>
  <c r="S18" i="23"/>
  <c r="T18" i="23"/>
  <c r="O33" i="23"/>
  <c r="P33" i="23"/>
  <c r="Q33" i="23"/>
  <c r="R33" i="23"/>
  <c r="AX33" i="23" s="1"/>
  <c r="S33" i="23"/>
  <c r="T33" i="23"/>
  <c r="O30" i="23"/>
  <c r="P30" i="23"/>
  <c r="Q30" i="23"/>
  <c r="R30" i="23"/>
  <c r="AX30" i="23" s="1"/>
  <c r="S30" i="23"/>
  <c r="T30" i="23"/>
  <c r="O50" i="23"/>
  <c r="P50" i="23"/>
  <c r="Q50" i="23"/>
  <c r="R50" i="23"/>
  <c r="AX50" i="23" s="1"/>
  <c r="S50" i="23"/>
  <c r="T50" i="23"/>
  <c r="O46" i="23"/>
  <c r="P46" i="23"/>
  <c r="Q46" i="23"/>
  <c r="R46" i="23"/>
  <c r="AX46" i="23" s="1"/>
  <c r="S46" i="23"/>
  <c r="T46" i="23"/>
  <c r="O70" i="23"/>
  <c r="P70" i="23"/>
  <c r="Q70" i="23"/>
  <c r="R70" i="23"/>
  <c r="AX70" i="23" s="1"/>
  <c r="S70" i="23"/>
  <c r="T70" i="23"/>
  <c r="O63" i="23"/>
  <c r="P63" i="23"/>
  <c r="Q63" i="23"/>
  <c r="R63" i="23"/>
  <c r="AX63" i="23" s="1"/>
  <c r="S63" i="23"/>
  <c r="T63" i="23"/>
  <c r="O64" i="23"/>
  <c r="P64" i="23"/>
  <c r="Q64" i="23"/>
  <c r="R64" i="23"/>
  <c r="AX64" i="23" s="1"/>
  <c r="S64" i="23"/>
  <c r="T64" i="23"/>
  <c r="O74" i="23"/>
  <c r="P74" i="23"/>
  <c r="Q74" i="23"/>
  <c r="R74" i="23"/>
  <c r="AX74" i="23" s="1"/>
  <c r="S74" i="23"/>
  <c r="T74" i="23"/>
  <c r="O75" i="23"/>
  <c r="P75" i="23"/>
  <c r="Q75" i="23"/>
  <c r="R75" i="23"/>
  <c r="AX75" i="23" s="1"/>
  <c r="S75" i="23"/>
  <c r="T75" i="23"/>
  <c r="O65" i="23"/>
  <c r="P65" i="23"/>
  <c r="Q65" i="23"/>
  <c r="R65" i="23"/>
  <c r="AX65" i="23" s="1"/>
  <c r="S65" i="23"/>
  <c r="T65" i="23"/>
  <c r="O66" i="23"/>
  <c r="P66" i="23"/>
  <c r="Q66" i="23"/>
  <c r="R66" i="23"/>
  <c r="AX66" i="23" s="1"/>
  <c r="S66" i="23"/>
  <c r="T66" i="23"/>
  <c r="N71" i="23"/>
  <c r="N42" i="23"/>
  <c r="N43" i="23"/>
  <c r="N47" i="23"/>
  <c r="N51" i="23"/>
  <c r="N31" i="23"/>
  <c r="N34" i="23"/>
  <c r="N36" i="23"/>
  <c r="N40" i="23"/>
  <c r="N14" i="23"/>
  <c r="N8" i="23"/>
  <c r="N9" i="23"/>
  <c r="N25" i="23"/>
  <c r="N26" i="23"/>
  <c r="N41" i="23"/>
  <c r="N27" i="23"/>
  <c r="N28" i="23"/>
  <c r="N29" i="23"/>
  <c r="N10" i="23"/>
  <c r="N11" i="23"/>
  <c r="N5" i="23"/>
  <c r="N15" i="23"/>
  <c r="N38" i="23"/>
  <c r="N39" i="23"/>
  <c r="N37" i="23"/>
  <c r="N52" i="23"/>
  <c r="N44" i="23"/>
  <c r="N48" i="23"/>
  <c r="N53" i="23"/>
  <c r="N58" i="23"/>
  <c r="N19" i="23"/>
  <c r="N54" i="23"/>
  <c r="N35" i="23"/>
  <c r="N55" i="23"/>
  <c r="N6" i="23"/>
  <c r="N20" i="23"/>
  <c r="N16" i="23"/>
  <c r="N59" i="23"/>
  <c r="N60" i="23"/>
  <c r="N68" i="23"/>
  <c r="N61" i="23"/>
  <c r="N72" i="23"/>
  <c r="N62" i="23"/>
  <c r="N21" i="23"/>
  <c r="N73" i="23"/>
  <c r="N32" i="23"/>
  <c r="N56" i="23"/>
  <c r="N49" i="23"/>
  <c r="N45" i="23"/>
  <c r="N22" i="23"/>
  <c r="N23" i="23"/>
  <c r="N57" i="23"/>
  <c r="N69" i="23"/>
  <c r="N24" i="23"/>
  <c r="N17" i="23"/>
  <c r="N12" i="23"/>
  <c r="N7" i="23"/>
  <c r="N13" i="23"/>
  <c r="N18" i="23"/>
  <c r="N33" i="23"/>
  <c r="N30" i="23"/>
  <c r="N50" i="23"/>
  <c r="N46" i="23"/>
  <c r="N70" i="23"/>
  <c r="N63" i="23"/>
  <c r="N64" i="23"/>
  <c r="N74" i="23"/>
  <c r="N75" i="23"/>
  <c r="N65" i="23"/>
  <c r="N66" i="23"/>
  <c r="N67" i="23"/>
  <c r="M71" i="23"/>
  <c r="M42" i="23"/>
  <c r="M43" i="23"/>
  <c r="M47" i="23"/>
  <c r="M51" i="23"/>
  <c r="M31" i="23"/>
  <c r="M34" i="23"/>
  <c r="M36" i="23"/>
  <c r="M40" i="23"/>
  <c r="M14" i="23"/>
  <c r="M8" i="23"/>
  <c r="M9" i="23"/>
  <c r="M25" i="23"/>
  <c r="M26" i="23"/>
  <c r="M41" i="23"/>
  <c r="M27" i="23"/>
  <c r="M28" i="23"/>
  <c r="M29" i="23"/>
  <c r="M10" i="23"/>
  <c r="M11" i="23"/>
  <c r="M5" i="23"/>
  <c r="M15" i="23"/>
  <c r="M38" i="23"/>
  <c r="M39" i="23"/>
  <c r="M37" i="23"/>
  <c r="M52" i="23"/>
  <c r="M44" i="23"/>
  <c r="M48" i="23"/>
  <c r="M53" i="23"/>
  <c r="M58" i="23"/>
  <c r="M19" i="23"/>
  <c r="M54" i="23"/>
  <c r="M35" i="23"/>
  <c r="M55" i="23"/>
  <c r="M6" i="23"/>
  <c r="M20" i="23"/>
  <c r="M16" i="23"/>
  <c r="M59" i="23"/>
  <c r="M60" i="23"/>
  <c r="M68" i="23"/>
  <c r="M61" i="23"/>
  <c r="M72" i="23"/>
  <c r="M62" i="23"/>
  <c r="M21" i="23"/>
  <c r="M73" i="23"/>
  <c r="M32" i="23"/>
  <c r="M56" i="23"/>
  <c r="M49" i="23"/>
  <c r="M45" i="23"/>
  <c r="M22" i="23"/>
  <c r="M23" i="23"/>
  <c r="M57" i="23"/>
  <c r="M69" i="23"/>
  <c r="M24" i="23"/>
  <c r="M17" i="23"/>
  <c r="M12" i="23"/>
  <c r="M7" i="23"/>
  <c r="M13" i="23"/>
  <c r="M18" i="23"/>
  <c r="M33" i="23"/>
  <c r="M30" i="23"/>
  <c r="M50" i="23"/>
  <c r="M46" i="23"/>
  <c r="M70" i="23"/>
  <c r="M63" i="23"/>
  <c r="M64" i="23"/>
  <c r="M74" i="23"/>
  <c r="M75" i="23"/>
  <c r="M65" i="23"/>
  <c r="M66" i="23"/>
  <c r="M67" i="23"/>
  <c r="AO5" i="9"/>
  <c r="AP5" i="9"/>
  <c r="AQ5" i="9"/>
  <c r="AR5" i="9"/>
  <c r="AO6" i="9"/>
  <c r="AP6" i="9"/>
  <c r="AQ6" i="9"/>
  <c r="AR6" i="9"/>
  <c r="AO7" i="9"/>
  <c r="AP7" i="9"/>
  <c r="AQ7" i="9"/>
  <c r="AR7" i="9"/>
  <c r="AO8" i="9"/>
  <c r="AP8" i="9"/>
  <c r="AQ8" i="9"/>
  <c r="AR8" i="9"/>
  <c r="AO9" i="9"/>
  <c r="AP9" i="9"/>
  <c r="AQ9" i="9"/>
  <c r="AR9" i="9"/>
  <c r="AO10" i="9"/>
  <c r="AP10" i="9"/>
  <c r="AQ10" i="9"/>
  <c r="AR10" i="9"/>
  <c r="AO11" i="9"/>
  <c r="AP11" i="9"/>
  <c r="AQ11" i="9"/>
  <c r="AR11" i="9"/>
  <c r="AO12" i="9"/>
  <c r="AP12" i="9"/>
  <c r="AQ12" i="9"/>
  <c r="AR12" i="9"/>
  <c r="AO13" i="9"/>
  <c r="AP13" i="9"/>
  <c r="AQ13" i="9"/>
  <c r="AR13" i="9"/>
  <c r="AO14" i="9"/>
  <c r="AP14" i="9"/>
  <c r="AQ14" i="9"/>
  <c r="AR14" i="9"/>
  <c r="AO16" i="9"/>
  <c r="AP16" i="9"/>
  <c r="AQ16" i="9"/>
  <c r="AR16" i="9"/>
  <c r="AO18" i="9"/>
  <c r="AP18" i="9"/>
  <c r="AQ18" i="9"/>
  <c r="AR18" i="9"/>
  <c r="AO19" i="9"/>
  <c r="AP19" i="9"/>
  <c r="AQ19" i="9"/>
  <c r="AR19" i="9"/>
  <c r="AO20" i="9"/>
  <c r="AP20" i="9"/>
  <c r="AQ20" i="9"/>
  <c r="AR20" i="9"/>
  <c r="AN6" i="9"/>
  <c r="AN7" i="9"/>
  <c r="AN8" i="9"/>
  <c r="AN9" i="9"/>
  <c r="AN10" i="9"/>
  <c r="AN11" i="9"/>
  <c r="AN12" i="9"/>
  <c r="AN13" i="9"/>
  <c r="AN14" i="9"/>
  <c r="AN16" i="9"/>
  <c r="AN18" i="9"/>
  <c r="AN19" i="9"/>
  <c r="AN20" i="9"/>
  <c r="I6" i="9"/>
  <c r="I7" i="9"/>
  <c r="I8" i="9"/>
  <c r="I9" i="9"/>
  <c r="I10" i="9"/>
  <c r="I11"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5" i="9"/>
  <c r="X81" i="23" l="1"/>
  <c r="X86" i="23" s="1"/>
  <c r="W81" i="23"/>
  <c r="W86" i="23" s="1"/>
  <c r="P81" i="23"/>
  <c r="P86" i="23" s="1"/>
  <c r="M81" i="23"/>
  <c r="T81" i="23"/>
  <c r="T86" i="23" s="1"/>
  <c r="S81" i="23"/>
  <c r="S86" i="23" s="1"/>
  <c r="V81" i="23"/>
  <c r="V86" i="23" s="1"/>
  <c r="Q81" i="23"/>
  <c r="Q86" i="23" s="1"/>
  <c r="R81" i="23"/>
  <c r="R86" i="23" s="1"/>
  <c r="O81" i="23"/>
  <c r="O86" i="23" s="1"/>
  <c r="AB81" i="23"/>
  <c r="AB86" i="23" s="1"/>
  <c r="Z81" i="23"/>
  <c r="Z86" i="23" s="1"/>
  <c r="N81" i="23"/>
  <c r="N86" i="23" s="1"/>
  <c r="AA81" i="23"/>
  <c r="AA86" i="23" s="1"/>
  <c r="Y81" i="23"/>
  <c r="Y86" i="23" s="1"/>
  <c r="BO11" i="23"/>
  <c r="Y82" i="23"/>
  <c r="Y84" i="23"/>
  <c r="Y83" i="23"/>
  <c r="X82" i="23"/>
  <c r="X84" i="23"/>
  <c r="X83" i="23"/>
  <c r="AA83" i="23"/>
  <c r="AA84" i="23"/>
  <c r="AA82" i="23"/>
  <c r="W83" i="23"/>
  <c r="W84" i="23"/>
  <c r="W82" i="23"/>
  <c r="AB84" i="23"/>
  <c r="AB82" i="23"/>
  <c r="AB83" i="23"/>
  <c r="V83" i="23"/>
  <c r="V84" i="23"/>
  <c r="V82" i="23"/>
  <c r="Z82" i="23"/>
  <c r="Z84" i="23"/>
  <c r="Z83" i="23"/>
  <c r="M83" i="23"/>
  <c r="M84" i="23"/>
  <c r="M82" i="23"/>
  <c r="T83" i="23"/>
  <c r="T84" i="23"/>
  <c r="T82" i="23"/>
  <c r="S83" i="23"/>
  <c r="S84" i="23"/>
  <c r="S82" i="23"/>
  <c r="P82" i="23"/>
  <c r="P83" i="23"/>
  <c r="P84" i="23"/>
  <c r="CY9" i="23"/>
  <c r="R82" i="23"/>
  <c r="R83" i="23"/>
  <c r="R84" i="23"/>
  <c r="Q82" i="23"/>
  <c r="Q83" i="23"/>
  <c r="Q84" i="23"/>
  <c r="N83" i="23"/>
  <c r="N82" i="23"/>
  <c r="N84" i="23"/>
  <c r="O82" i="23"/>
  <c r="O83" i="23"/>
  <c r="O84" i="23"/>
  <c r="BT11" i="23"/>
  <c r="CG10" i="23"/>
  <c r="CJ9" i="23"/>
  <c r="CJ6" i="23"/>
  <c r="CF6" i="23"/>
  <c r="BU11" i="23"/>
  <c r="BS11" i="23"/>
  <c r="CE7" i="23"/>
  <c r="CE10" i="23"/>
  <c r="CF8" i="23"/>
  <c r="CF9" i="23"/>
  <c r="CI9" i="23"/>
  <c r="CI8" i="23"/>
  <c r="CK9" i="23"/>
  <c r="BV8" i="23"/>
  <c r="CF10" i="23"/>
  <c r="CK7" i="23"/>
  <c r="CK10" i="23"/>
  <c r="CJ10" i="23"/>
  <c r="CI6" i="23"/>
  <c r="BV9" i="23"/>
  <c r="CH7" i="23"/>
  <c r="CK6" i="23"/>
  <c r="CK8" i="23"/>
  <c r="BW9" i="23"/>
  <c r="CE8" i="23"/>
  <c r="CG7" i="23"/>
  <c r="CJ8" i="23"/>
  <c r="CI10" i="23"/>
  <c r="BR11" i="23"/>
  <c r="BV6" i="23"/>
  <c r="BY6" i="23"/>
  <c r="CH10" i="23"/>
  <c r="CH8" i="23"/>
  <c r="CJ7" i="23"/>
  <c r="CF7" i="23"/>
  <c r="CE6" i="23"/>
  <c r="CE9" i="23"/>
  <c r="CG8" i="23"/>
  <c r="BV10" i="23"/>
  <c r="CH9" i="23"/>
  <c r="CI7" i="23"/>
  <c r="CG9" i="23"/>
  <c r="BQ11" i="23"/>
  <c r="BP11" i="23"/>
  <c r="CH6" i="23"/>
  <c r="BV7" i="23"/>
  <c r="CG6" i="23"/>
  <c r="BW6" i="23"/>
  <c r="CC7" i="23"/>
  <c r="CC10" i="23"/>
  <c r="BZ6" i="23"/>
  <c r="CB7" i="23"/>
  <c r="BX7" i="23"/>
  <c r="CB10" i="23"/>
  <c r="BX9" i="23"/>
  <c r="CC8" i="23"/>
  <c r="BY8" i="23"/>
  <c r="CC9" i="23"/>
  <c r="BZ8" i="23"/>
  <c r="BZ10" i="23"/>
  <c r="BX8" i="23"/>
  <c r="BY10" i="23"/>
  <c r="BX10" i="23"/>
  <c r="CA8" i="23"/>
  <c r="CB9" i="23"/>
  <c r="BW7" i="23"/>
  <c r="BZ9" i="23"/>
  <c r="BW10" i="23"/>
  <c r="BW8" i="23"/>
  <c r="BY9" i="23"/>
  <c r="CC6" i="23"/>
  <c r="CB6" i="23"/>
  <c r="BZ7" i="23"/>
  <c r="BX6" i="23"/>
  <c r="CB8" i="23"/>
  <c r="BY7" i="23"/>
  <c r="CY7" i="23"/>
  <c r="CA7" i="23"/>
  <c r="CA6" i="23"/>
  <c r="CA10" i="23"/>
  <c r="CA9" i="23"/>
  <c r="AW57" i="23"/>
  <c r="H67" i="4"/>
  <c r="AW52" i="23"/>
  <c r="AW55" i="23"/>
  <c r="AW64" i="23"/>
  <c r="AW12" i="23"/>
  <c r="AW35" i="23"/>
  <c r="AW50" i="23"/>
  <c r="AW72" i="23"/>
  <c r="AW27" i="23"/>
  <c r="AW31" i="23"/>
  <c r="AW40" i="23"/>
  <c r="AW63" i="23"/>
  <c r="AW37" i="23"/>
  <c r="AW54" i="23"/>
  <c r="AW26" i="23"/>
  <c r="AW46" i="23"/>
  <c r="AW69" i="23"/>
  <c r="AW43" i="23"/>
  <c r="AW29" i="23"/>
  <c r="AW70" i="23"/>
  <c r="AW24" i="23"/>
  <c r="AW39" i="23"/>
  <c r="AW66" i="23"/>
  <c r="AW11" i="23"/>
  <c r="AW67" i="23"/>
  <c r="AW62" i="23"/>
  <c r="AW38" i="23"/>
  <c r="AW32" i="23"/>
  <c r="AW20" i="23"/>
  <c r="AW65" i="23"/>
  <c r="AW45" i="23"/>
  <c r="AW60" i="23"/>
  <c r="AW53" i="23"/>
  <c r="AW10" i="23"/>
  <c r="AW9" i="23"/>
  <c r="AW47" i="23"/>
  <c r="AW15" i="23"/>
  <c r="AW41" i="23"/>
  <c r="AW74" i="23"/>
  <c r="AW7" i="23"/>
  <c r="AW56" i="23"/>
  <c r="AW16" i="23"/>
  <c r="AW44" i="23"/>
  <c r="AW28" i="23"/>
  <c r="AW17" i="23"/>
  <c r="AW33" i="23"/>
  <c r="AW22" i="23"/>
  <c r="AW68" i="23"/>
  <c r="AW14" i="23"/>
  <c r="AW6" i="23"/>
  <c r="AW51" i="23"/>
  <c r="AW25" i="23"/>
  <c r="AW18" i="23"/>
  <c r="AW49" i="23"/>
  <c r="AW59" i="23"/>
  <c r="AW48" i="23"/>
  <c r="AW73" i="23"/>
  <c r="AW75" i="23"/>
  <c r="AW13" i="23"/>
  <c r="AW36" i="23"/>
  <c r="AW30" i="23"/>
  <c r="AW23" i="23"/>
  <c r="AW61" i="23"/>
  <c r="AW19" i="23"/>
  <c r="AW8" i="23"/>
  <c r="AS11" i="9"/>
  <c r="AS14" i="9"/>
  <c r="AS18" i="9"/>
  <c r="AS10" i="9"/>
  <c r="AS9" i="9"/>
  <c r="AS20" i="9"/>
  <c r="AS19" i="9"/>
  <c r="AS8" i="9"/>
  <c r="AQ21" i="9"/>
  <c r="AP21" i="9"/>
  <c r="AN21" i="9"/>
  <c r="AS5" i="9"/>
  <c r="AS16" i="9"/>
  <c r="AS12" i="9"/>
  <c r="AO21" i="9"/>
  <c r="AS13" i="9"/>
  <c r="AS7" i="9"/>
  <c r="AS6" i="9"/>
  <c r="AR21" i="9"/>
  <c r="AC71" i="23"/>
  <c r="U9" i="23"/>
  <c r="AC53" i="23"/>
  <c r="U46" i="23"/>
  <c r="U62" i="23"/>
  <c r="U43" i="23"/>
  <c r="AC40" i="23"/>
  <c r="AC36" i="23"/>
  <c r="U38" i="23"/>
  <c r="AC65" i="23"/>
  <c r="AC27" i="23"/>
  <c r="U12" i="23"/>
  <c r="AC43" i="23"/>
  <c r="AC45" i="23"/>
  <c r="AC23" i="23"/>
  <c r="AC8" i="23"/>
  <c r="AC57" i="23"/>
  <c r="U57" i="23"/>
  <c r="U23" i="23"/>
  <c r="U19" i="23"/>
  <c r="U8" i="23"/>
  <c r="U64" i="23"/>
  <c r="U32" i="23"/>
  <c r="U20" i="23"/>
  <c r="U52" i="23"/>
  <c r="U27" i="23"/>
  <c r="U31" i="23"/>
  <c r="U45" i="23"/>
  <c r="U53" i="23"/>
  <c r="U40" i="23"/>
  <c r="U75" i="23"/>
  <c r="U49" i="23"/>
  <c r="U48" i="23"/>
  <c r="U36" i="23"/>
  <c r="U54" i="23"/>
  <c r="AC51" i="23"/>
  <c r="AC29" i="23"/>
  <c r="AC44" i="23"/>
  <c r="AC59" i="23"/>
  <c r="AC7" i="23"/>
  <c r="AC16" i="23"/>
  <c r="AC28" i="23"/>
  <c r="AC17" i="23"/>
  <c r="AC41" i="23"/>
  <c r="U72" i="23"/>
  <c r="AC25" i="23"/>
  <c r="U5" i="23"/>
  <c r="U18" i="23"/>
  <c r="U60" i="23"/>
  <c r="U10" i="23"/>
  <c r="U70" i="23"/>
  <c r="U21" i="23"/>
  <c r="U39" i="23"/>
  <c r="U47" i="23"/>
  <c r="U13" i="23"/>
  <c r="U59" i="23"/>
  <c r="U29" i="23"/>
  <c r="AC73" i="23"/>
  <c r="U7" i="23"/>
  <c r="U28" i="23"/>
  <c r="U44" i="23"/>
  <c r="U34" i="23"/>
  <c r="AC12" i="23"/>
  <c r="AC54" i="23"/>
  <c r="U15" i="23"/>
  <c r="AC69" i="23"/>
  <c r="U71" i="23"/>
  <c r="U74" i="23"/>
  <c r="AC20" i="23"/>
  <c r="AC9" i="23"/>
  <c r="AC67" i="23"/>
  <c r="U17" i="23"/>
  <c r="U6" i="23"/>
  <c r="U41" i="23"/>
  <c r="U66" i="23"/>
  <c r="U33" i="23"/>
  <c r="U22" i="23"/>
  <c r="U68" i="23"/>
  <c r="U58" i="23"/>
  <c r="U11" i="23"/>
  <c r="U14" i="23"/>
  <c r="U67" i="23"/>
  <c r="AC70" i="23"/>
  <c r="AC21" i="23"/>
  <c r="AC39" i="23"/>
  <c r="AC47" i="23"/>
  <c r="U73" i="23"/>
  <c r="AC37" i="23"/>
  <c r="U61" i="23"/>
  <c r="U16" i="23"/>
  <c r="U55" i="23"/>
  <c r="AC62" i="23"/>
  <c r="AC38" i="23"/>
  <c r="U69" i="23"/>
  <c r="U35" i="23"/>
  <c r="U25" i="23"/>
  <c r="AC50" i="23"/>
  <c r="AC72" i="23"/>
  <c r="AC15" i="23"/>
  <c r="U51" i="23"/>
  <c r="AC26" i="23"/>
  <c r="U50" i="23"/>
  <c r="U30" i="23"/>
  <c r="U56" i="23"/>
  <c r="U24" i="23"/>
  <c r="U26" i="23"/>
  <c r="AC46" i="23"/>
  <c r="AC35" i="23"/>
  <c r="AC30" i="23"/>
  <c r="AC61" i="23"/>
  <c r="AC5" i="23"/>
  <c r="AC6" i="23"/>
  <c r="AC19" i="23"/>
  <c r="AC13" i="23"/>
  <c r="AC55" i="23"/>
  <c r="AC24" i="23"/>
  <c r="U63" i="23"/>
  <c r="U65" i="23"/>
  <c r="U37" i="23"/>
  <c r="U42" i="23"/>
  <c r="AC49" i="23"/>
  <c r="AC33" i="23"/>
  <c r="AC68" i="23"/>
  <c r="AC11" i="23"/>
  <c r="AC18" i="23"/>
  <c r="AC60" i="23"/>
  <c r="AC10" i="23"/>
  <c r="AC75" i="23"/>
  <c r="AC63" i="23"/>
  <c r="AC66" i="23"/>
  <c r="AC22" i="23"/>
  <c r="AC58" i="23"/>
  <c r="AC14" i="23"/>
  <c r="AC74" i="23"/>
  <c r="AC56" i="23"/>
  <c r="AC34" i="23"/>
  <c r="AC64" i="23"/>
  <c r="AC32" i="23"/>
  <c r="AC52" i="23"/>
  <c r="AC31" i="23"/>
  <c r="AC48" i="23"/>
  <c r="AC42" i="23"/>
  <c r="I79" i="9"/>
  <c r="J26" i="9" s="1"/>
  <c r="W10" i="16"/>
  <c r="W9" i="16"/>
  <c r="W8" i="16"/>
  <c r="G56" i="8"/>
  <c r="H56" i="8" s="1"/>
  <c r="I56" i="8" s="1"/>
  <c r="K28" i="15"/>
  <c r="AG11" i="5"/>
  <c r="Q26" i="9" l="1"/>
  <c r="Y26" i="9" s="1"/>
  <c r="M26" i="9"/>
  <c r="U26" i="9" s="1"/>
  <c r="N26" i="9"/>
  <c r="V26" i="9" s="1"/>
  <c r="O26" i="9"/>
  <c r="W26" i="9" s="1"/>
  <c r="P26" i="9"/>
  <c r="X26" i="9" s="1"/>
  <c r="R26" i="9"/>
  <c r="Z26" i="9" s="1"/>
  <c r="L26" i="9"/>
  <c r="T26" i="9" s="1"/>
  <c r="K26" i="9"/>
  <c r="S26" i="9" s="1"/>
  <c r="CY10" i="23"/>
  <c r="CY8" i="23"/>
  <c r="U81" i="23"/>
  <c r="U86" i="23" s="1"/>
  <c r="AW71" i="23"/>
  <c r="AO81" i="23"/>
  <c r="AC81" i="23"/>
  <c r="AC86" i="23" s="1"/>
  <c r="AX71" i="23"/>
  <c r="AP81" i="23"/>
  <c r="AC83" i="23"/>
  <c r="AC82" i="23"/>
  <c r="AC84" i="23"/>
  <c r="AO82" i="23"/>
  <c r="AO83" i="23"/>
  <c r="AO84" i="23"/>
  <c r="AX5" i="23"/>
  <c r="AP82" i="23"/>
  <c r="AP84" i="23"/>
  <c r="AP83" i="23"/>
  <c r="CY6" i="23"/>
  <c r="U84" i="23"/>
  <c r="U82" i="23"/>
  <c r="U83" i="23"/>
  <c r="BZ11" i="23"/>
  <c r="BV11" i="23"/>
  <c r="CH11" i="23"/>
  <c r="CE11" i="23"/>
  <c r="CF11" i="23"/>
  <c r="CJ11" i="23"/>
  <c r="CK11" i="23"/>
  <c r="BW11" i="23"/>
  <c r="BX11" i="23"/>
  <c r="CL10" i="23"/>
  <c r="CD7" i="23"/>
  <c r="CG11" i="23"/>
  <c r="CB11" i="23"/>
  <c r="BY11" i="23"/>
  <c r="CI11" i="23"/>
  <c r="CC11" i="23"/>
  <c r="CL6" i="23"/>
  <c r="CL7" i="23"/>
  <c r="CL9" i="23"/>
  <c r="CL8" i="23"/>
  <c r="CA11" i="23"/>
  <c r="CD8" i="23"/>
  <c r="CX6" i="23"/>
  <c r="AW42" i="23"/>
  <c r="CX9" i="23"/>
  <c r="CD9" i="23"/>
  <c r="CD10" i="23"/>
  <c r="AW58" i="23"/>
  <c r="CX10" i="23"/>
  <c r="AW21" i="23"/>
  <c r="CX7" i="23"/>
  <c r="CD6" i="23"/>
  <c r="AW34" i="23"/>
  <c r="CX8" i="23"/>
  <c r="AW5" i="23"/>
  <c r="AV105" i="9"/>
  <c r="AS21" i="9"/>
  <c r="AO22" i="9" s="1"/>
  <c r="J63" i="9"/>
  <c r="J25" i="9"/>
  <c r="J16" i="9"/>
  <c r="J18" i="9"/>
  <c r="J24" i="9"/>
  <c r="J35" i="9"/>
  <c r="J20" i="9"/>
  <c r="J58" i="9"/>
  <c r="J67" i="9"/>
  <c r="J8" i="9"/>
  <c r="J60" i="9"/>
  <c r="J7" i="9"/>
  <c r="J59" i="9"/>
  <c r="J64" i="9"/>
  <c r="J21" i="9"/>
  <c r="J42" i="9"/>
  <c r="J15" i="9"/>
  <c r="J69" i="9"/>
  <c r="J44" i="9"/>
  <c r="J23" i="9"/>
  <c r="J62" i="9"/>
  <c r="J14" i="9"/>
  <c r="J13" i="9"/>
  <c r="J29" i="9"/>
  <c r="J34" i="9"/>
  <c r="J55" i="9"/>
  <c r="J17" i="9"/>
  <c r="J66" i="9"/>
  <c r="J43" i="9"/>
  <c r="J47" i="9"/>
  <c r="J61" i="9"/>
  <c r="J45" i="9"/>
  <c r="J28" i="9"/>
  <c r="J65" i="9"/>
  <c r="J48" i="9"/>
  <c r="J68" i="9"/>
  <c r="J71" i="9"/>
  <c r="J50" i="9"/>
  <c r="J11" i="9"/>
  <c r="J52" i="9"/>
  <c r="J12" i="9"/>
  <c r="J53" i="9"/>
  <c r="J54" i="9"/>
  <c r="J27" i="9"/>
  <c r="J30" i="9"/>
  <c r="J70" i="9"/>
  <c r="J72" i="9"/>
  <c r="J56" i="9"/>
  <c r="J57" i="9"/>
  <c r="J38" i="9"/>
  <c r="J75" i="9"/>
  <c r="J31" i="9"/>
  <c r="J32" i="9"/>
  <c r="J33" i="9"/>
  <c r="J41" i="9"/>
  <c r="J49" i="9"/>
  <c r="J5" i="9"/>
  <c r="J36" i="9"/>
  <c r="J37" i="9"/>
  <c r="J40" i="9"/>
  <c r="J73" i="9"/>
  <c r="J74" i="9"/>
  <c r="J9" i="9"/>
  <c r="J51" i="9"/>
  <c r="J22" i="9"/>
  <c r="J46" i="9"/>
  <c r="J10" i="9"/>
  <c r="J39" i="9"/>
  <c r="J19" i="9"/>
  <c r="J6" i="9"/>
  <c r="G57" i="8"/>
  <c r="H57" i="8" s="1"/>
  <c r="I57" i="8" s="1"/>
  <c r="G22" i="8"/>
  <c r="H22" i="8" s="1"/>
  <c r="I22" i="8" s="1"/>
  <c r="G74" i="8"/>
  <c r="H74" i="8" s="1"/>
  <c r="I74" i="8" s="1"/>
  <c r="G32" i="8"/>
  <c r="H32" i="8" s="1"/>
  <c r="I32" i="8" s="1"/>
  <c r="G51" i="8"/>
  <c r="H51" i="8" s="1"/>
  <c r="I51" i="8" s="1"/>
  <c r="G70" i="8"/>
  <c r="H70" i="8" s="1"/>
  <c r="I70" i="8" s="1"/>
  <c r="G47" i="8"/>
  <c r="H47" i="8" s="1"/>
  <c r="I47" i="8" s="1"/>
  <c r="G38" i="8"/>
  <c r="H38" i="8" s="1"/>
  <c r="I38" i="8" s="1"/>
  <c r="G30" i="8"/>
  <c r="H30" i="8" s="1"/>
  <c r="I30" i="8" s="1"/>
  <c r="G61" i="8"/>
  <c r="H61" i="8" s="1"/>
  <c r="I61" i="8" s="1"/>
  <c r="G5" i="8"/>
  <c r="H71" i="8"/>
  <c r="I71" i="8" s="1"/>
  <c r="G33" i="8"/>
  <c r="H33" i="8" s="1"/>
  <c r="I33" i="8" s="1"/>
  <c r="G68" i="8"/>
  <c r="H68" i="8" s="1"/>
  <c r="I68" i="8" s="1"/>
  <c r="G11" i="8"/>
  <c r="H11" i="8" s="1"/>
  <c r="I11" i="8" s="1"/>
  <c r="G14" i="8"/>
  <c r="H14" i="8" s="1"/>
  <c r="I14" i="8" s="1"/>
  <c r="G52" i="8"/>
  <c r="H52" i="8" s="1"/>
  <c r="I52" i="8" s="1"/>
  <c r="G39" i="8"/>
  <c r="H39" i="8" s="1"/>
  <c r="I39" i="8" s="1"/>
  <c r="G46" i="8"/>
  <c r="H46" i="8" s="1"/>
  <c r="I46" i="8" s="1"/>
  <c r="G15" i="8"/>
  <c r="H15" i="8" s="1"/>
  <c r="I15" i="8" s="1"/>
  <c r="G18" i="8"/>
  <c r="H18" i="8" s="1"/>
  <c r="I18" i="8" s="1"/>
  <c r="G60" i="8"/>
  <c r="H60" i="8" s="1"/>
  <c r="I60" i="8" s="1"/>
  <c r="G10" i="8"/>
  <c r="H10" i="8" s="1"/>
  <c r="I10" i="8" s="1"/>
  <c r="G13" i="8"/>
  <c r="H13" i="8" s="1"/>
  <c r="I13" i="8" s="1"/>
  <c r="G59" i="8"/>
  <c r="H59" i="8" s="1"/>
  <c r="I59" i="8" s="1"/>
  <c r="G29" i="8"/>
  <c r="H29" i="8" s="1"/>
  <c r="I29" i="8" s="1"/>
  <c r="G54" i="8"/>
  <c r="H54" i="8" s="1"/>
  <c r="I54" i="8" s="1"/>
  <c r="G23" i="8"/>
  <c r="H23" i="8" s="1"/>
  <c r="I23" i="8" s="1"/>
  <c r="BF23" i="23" s="1"/>
  <c r="G8" i="8"/>
  <c r="H8" i="8" s="1"/>
  <c r="I8" i="8" s="1"/>
  <c r="G44" i="8"/>
  <c r="H44" i="8" s="1"/>
  <c r="I44" i="8" s="1"/>
  <c r="G37" i="8"/>
  <c r="H37" i="8" s="1"/>
  <c r="I37" i="8" s="1"/>
  <c r="G21" i="8"/>
  <c r="H21" i="8" s="1"/>
  <c r="I21" i="8" s="1"/>
  <c r="G43" i="8"/>
  <c r="H43" i="8" s="1"/>
  <c r="I43" i="8" s="1"/>
  <c r="G50" i="8"/>
  <c r="H50" i="8" s="1"/>
  <c r="I50" i="8" s="1"/>
  <c r="G42" i="8"/>
  <c r="H42" i="8" s="1"/>
  <c r="I42" i="8" s="1"/>
  <c r="G7" i="8"/>
  <c r="H7" i="8" s="1"/>
  <c r="I7" i="8" s="1"/>
  <c r="G12" i="8"/>
  <c r="H12" i="8" s="1"/>
  <c r="I12" i="8" s="1"/>
  <c r="G17" i="8"/>
  <c r="H17" i="8" s="1"/>
  <c r="I17" i="8" s="1"/>
  <c r="G6" i="8"/>
  <c r="H6" i="8" s="1"/>
  <c r="I6" i="8" s="1"/>
  <c r="G41" i="8"/>
  <c r="H41" i="8" s="1"/>
  <c r="I41" i="8" s="1"/>
  <c r="G58" i="8"/>
  <c r="H58" i="8" s="1"/>
  <c r="I58" i="8" s="1"/>
  <c r="G31" i="8"/>
  <c r="H31" i="8" s="1"/>
  <c r="I31" i="8" s="1"/>
  <c r="G16" i="8"/>
  <c r="H16" i="8" s="1"/>
  <c r="I16" i="8" s="1"/>
  <c r="G20" i="8"/>
  <c r="H20" i="8" s="1"/>
  <c r="I20" i="8" s="1"/>
  <c r="G24" i="8"/>
  <c r="H24" i="8" s="1"/>
  <c r="I24" i="8" s="1"/>
  <c r="G55" i="8"/>
  <c r="H55" i="8" s="1"/>
  <c r="I55" i="8" s="1"/>
  <c r="G26" i="8"/>
  <c r="H26" i="8" s="1"/>
  <c r="I26" i="8" s="1"/>
  <c r="G19" i="8"/>
  <c r="H19" i="8" s="1"/>
  <c r="I19" i="8" s="1"/>
  <c r="G34" i="8"/>
  <c r="H34" i="8" s="1"/>
  <c r="I34" i="8" s="1"/>
  <c r="G64" i="8"/>
  <c r="H64" i="8" s="1"/>
  <c r="I64" i="8" s="1"/>
  <c r="G63" i="8"/>
  <c r="H63" i="8" s="1"/>
  <c r="I63" i="8" s="1"/>
  <c r="G72" i="8"/>
  <c r="H72" i="8" s="1"/>
  <c r="I72" i="8" s="1"/>
  <c r="G28" i="8"/>
  <c r="H28" i="8" s="1"/>
  <c r="I28" i="8" s="1"/>
  <c r="G27" i="8"/>
  <c r="H27" i="8" s="1"/>
  <c r="I27" i="8" s="1"/>
  <c r="G69" i="8"/>
  <c r="H69" i="8" s="1"/>
  <c r="I69" i="8" s="1"/>
  <c r="G35" i="8"/>
  <c r="H35" i="8" s="1"/>
  <c r="I35" i="8" s="1"/>
  <c r="G25" i="8"/>
  <c r="H25" i="8" s="1"/>
  <c r="I25" i="8" s="1"/>
  <c r="G65" i="8"/>
  <c r="H65" i="8" s="1"/>
  <c r="I65" i="8" s="1"/>
  <c r="G45" i="8"/>
  <c r="H45" i="8" s="1"/>
  <c r="I45" i="8" s="1"/>
  <c r="G53" i="8"/>
  <c r="H53" i="8" s="1"/>
  <c r="I53" i="8" s="1"/>
  <c r="G40" i="8"/>
  <c r="H40" i="8" s="1"/>
  <c r="I40" i="8" s="1"/>
  <c r="G75" i="8"/>
  <c r="H75" i="8" s="1"/>
  <c r="I75" i="8" s="1"/>
  <c r="G49" i="8"/>
  <c r="H49" i="8" s="1"/>
  <c r="I49" i="8" s="1"/>
  <c r="G48" i="8"/>
  <c r="H48" i="8" s="1"/>
  <c r="I48" i="8" s="1"/>
  <c r="G36" i="8"/>
  <c r="H36" i="8" s="1"/>
  <c r="I36" i="8" s="1"/>
  <c r="G73" i="8"/>
  <c r="H73" i="8" s="1"/>
  <c r="I73" i="8" s="1"/>
  <c r="G62" i="8"/>
  <c r="H62" i="8" s="1"/>
  <c r="I62" i="8" s="1"/>
  <c r="G9" i="8"/>
  <c r="H9" i="8" s="1"/>
  <c r="I9" i="8" s="1"/>
  <c r="G67" i="8"/>
  <c r="G66" i="8"/>
  <c r="H66" i="8" s="1"/>
  <c r="I66" i="8" s="1"/>
  <c r="G81" i="8" l="1"/>
  <c r="AA91" i="9"/>
  <c r="AA89" i="9"/>
  <c r="AA92" i="9"/>
  <c r="AA88" i="9"/>
  <c r="AA90" i="9"/>
  <c r="K34" i="9"/>
  <c r="S34" i="9" s="1"/>
  <c r="Q34" i="9"/>
  <c r="Y34" i="9" s="1"/>
  <c r="M34" i="9"/>
  <c r="U34" i="9" s="1"/>
  <c r="R34" i="9"/>
  <c r="Z34" i="9" s="1"/>
  <c r="L34" i="9"/>
  <c r="T34" i="9" s="1"/>
  <c r="P34" i="9"/>
  <c r="N34" i="9"/>
  <c r="V34" i="9" s="1"/>
  <c r="O34" i="9"/>
  <c r="W34" i="9" s="1"/>
  <c r="R16" i="9"/>
  <c r="Z16" i="9" s="1"/>
  <c r="K16" i="9"/>
  <c r="S16" i="9" s="1"/>
  <c r="L16" i="9"/>
  <c r="T16" i="9" s="1"/>
  <c r="M16" i="9"/>
  <c r="U16" i="9" s="1"/>
  <c r="N16" i="9"/>
  <c r="V16" i="9" s="1"/>
  <c r="O16" i="9"/>
  <c r="W16" i="9" s="1"/>
  <c r="P16" i="9"/>
  <c r="Q16" i="9"/>
  <c r="Y16" i="9" s="1"/>
  <c r="Q68" i="9"/>
  <c r="Y68" i="9" s="1"/>
  <c r="K68" i="9"/>
  <c r="S68" i="9" s="1"/>
  <c r="M68" i="9"/>
  <c r="U68" i="9" s="1"/>
  <c r="L68" i="9"/>
  <c r="T68" i="9" s="1"/>
  <c r="O68" i="9"/>
  <c r="W68" i="9" s="1"/>
  <c r="P68" i="9"/>
  <c r="N68" i="9"/>
  <c r="V68" i="9" s="1"/>
  <c r="R68" i="9"/>
  <c r="Q48" i="9"/>
  <c r="Y48" i="9" s="1"/>
  <c r="K48" i="9"/>
  <c r="S48" i="9" s="1"/>
  <c r="M48" i="9"/>
  <c r="U48" i="9" s="1"/>
  <c r="L48" i="9"/>
  <c r="T48" i="9" s="1"/>
  <c r="N48" i="9"/>
  <c r="V48" i="9" s="1"/>
  <c r="O48" i="9"/>
  <c r="W48" i="9" s="1"/>
  <c r="P48" i="9"/>
  <c r="R48" i="9"/>
  <c r="Z48" i="9" s="1"/>
  <c r="Q31" i="9"/>
  <c r="Y31" i="9" s="1"/>
  <c r="L31" i="9"/>
  <c r="T31" i="9" s="1"/>
  <c r="K31" i="9"/>
  <c r="S31" i="9" s="1"/>
  <c r="R31" i="9"/>
  <c r="Z31" i="9" s="1"/>
  <c r="O31" i="9"/>
  <c r="W31" i="9" s="1"/>
  <c r="M31" i="9"/>
  <c r="U31" i="9" s="1"/>
  <c r="N31" i="9"/>
  <c r="V31" i="9" s="1"/>
  <c r="P31" i="9"/>
  <c r="R75" i="9"/>
  <c r="Z75" i="9" s="1"/>
  <c r="P75" i="9"/>
  <c r="L75" i="9"/>
  <c r="T75" i="9" s="1"/>
  <c r="Q75" i="9"/>
  <c r="Y75" i="9" s="1"/>
  <c r="K75" i="9"/>
  <c r="S75" i="9" s="1"/>
  <c r="O75" i="9"/>
  <c r="W75" i="9" s="1"/>
  <c r="M75" i="9"/>
  <c r="U75" i="9" s="1"/>
  <c r="N75" i="9"/>
  <c r="V75" i="9" s="1"/>
  <c r="N61" i="9"/>
  <c r="V61" i="9" s="1"/>
  <c r="O61" i="9"/>
  <c r="W61" i="9" s="1"/>
  <c r="P61" i="9"/>
  <c r="R61" i="9"/>
  <c r="Q61" i="9"/>
  <c r="K61" i="9"/>
  <c r="S61" i="9" s="1"/>
  <c r="L61" i="9"/>
  <c r="T61" i="9" s="1"/>
  <c r="M61" i="9"/>
  <c r="U61" i="9" s="1"/>
  <c r="M44" i="9"/>
  <c r="U44" i="9" s="1"/>
  <c r="N44" i="9"/>
  <c r="V44" i="9" s="1"/>
  <c r="O44" i="9"/>
  <c r="W44" i="9" s="1"/>
  <c r="P44" i="9"/>
  <c r="R44" i="9"/>
  <c r="Z44" i="9" s="1"/>
  <c r="L44" i="9"/>
  <c r="T44" i="9" s="1"/>
  <c r="Q44" i="9"/>
  <c r="Y44" i="9" s="1"/>
  <c r="K44" i="9"/>
  <c r="S44" i="9" s="1"/>
  <c r="Q71" i="9"/>
  <c r="Y71" i="9" s="1"/>
  <c r="K71" i="9"/>
  <c r="S71" i="9" s="1"/>
  <c r="L71" i="9"/>
  <c r="T71" i="9" s="1"/>
  <c r="M71" i="9"/>
  <c r="U71" i="9" s="1"/>
  <c r="N71" i="9"/>
  <c r="V71" i="9" s="1"/>
  <c r="O71" i="9"/>
  <c r="W71" i="9" s="1"/>
  <c r="P71" i="9"/>
  <c r="R71" i="9"/>
  <c r="K13" i="9"/>
  <c r="S13" i="9" s="1"/>
  <c r="O13" i="9"/>
  <c r="W13" i="9" s="1"/>
  <c r="L13" i="9"/>
  <c r="T13" i="9" s="1"/>
  <c r="M13" i="9"/>
  <c r="U13" i="9" s="1"/>
  <c r="N13" i="9"/>
  <c r="V13" i="9" s="1"/>
  <c r="P13" i="9"/>
  <c r="Q13" i="9"/>
  <c r="Y13" i="9" s="1"/>
  <c r="R13" i="9"/>
  <c r="Z13" i="9" s="1"/>
  <c r="M19" i="9"/>
  <c r="U19" i="9" s="1"/>
  <c r="R19" i="9"/>
  <c r="Z19" i="9" s="1"/>
  <c r="K19" i="9"/>
  <c r="S19" i="9" s="1"/>
  <c r="L19" i="9"/>
  <c r="T19" i="9" s="1"/>
  <c r="N19" i="9"/>
  <c r="V19" i="9" s="1"/>
  <c r="P19" i="9"/>
  <c r="O19" i="9"/>
  <c r="W19" i="9" s="1"/>
  <c r="Q19" i="9"/>
  <c r="Y19" i="9" s="1"/>
  <c r="R57" i="9"/>
  <c r="P57" i="9"/>
  <c r="Q57" i="9"/>
  <c r="K57" i="9"/>
  <c r="S57" i="9" s="1"/>
  <c r="AZ57" i="23" s="1"/>
  <c r="L57" i="9"/>
  <c r="T57" i="9" s="1"/>
  <c r="M57" i="9"/>
  <c r="U57" i="9" s="1"/>
  <c r="N57" i="9"/>
  <c r="V57" i="9" s="1"/>
  <c r="O57" i="9"/>
  <c r="W57" i="9" s="1"/>
  <c r="R43" i="9"/>
  <c r="Z43" i="9" s="1"/>
  <c r="K43" i="9"/>
  <c r="S43" i="9" s="1"/>
  <c r="L43" i="9"/>
  <c r="T43" i="9" s="1"/>
  <c r="M43" i="9"/>
  <c r="U43" i="9" s="1"/>
  <c r="N43" i="9"/>
  <c r="V43" i="9" s="1"/>
  <c r="O43" i="9"/>
  <c r="W43" i="9" s="1"/>
  <c r="P43" i="9"/>
  <c r="Q43" i="9"/>
  <c r="Y43" i="9" s="1"/>
  <c r="R15" i="9"/>
  <c r="Z15" i="9" s="1"/>
  <c r="P15" i="9"/>
  <c r="K15" i="9"/>
  <c r="S15" i="9" s="1"/>
  <c r="L15" i="9"/>
  <c r="T15" i="9" s="1"/>
  <c r="M15" i="9"/>
  <c r="U15" i="9" s="1"/>
  <c r="N15" i="9"/>
  <c r="V15" i="9" s="1"/>
  <c r="O15" i="9"/>
  <c r="W15" i="9" s="1"/>
  <c r="Q15" i="9"/>
  <c r="Y15" i="9" s="1"/>
  <c r="N5" i="9"/>
  <c r="V5" i="9" s="1"/>
  <c r="L5" i="9"/>
  <c r="T5" i="9" s="1"/>
  <c r="M5" i="9"/>
  <c r="U5" i="9" s="1"/>
  <c r="O5" i="9"/>
  <c r="W5" i="9" s="1"/>
  <c r="P5" i="9"/>
  <c r="K5" i="9"/>
  <c r="S5" i="9" s="1"/>
  <c r="Q5" i="9"/>
  <c r="Y5" i="9" s="1"/>
  <c r="R5" i="9"/>
  <c r="Z5" i="9" s="1"/>
  <c r="M24" i="9"/>
  <c r="U24" i="9" s="1"/>
  <c r="N24" i="9"/>
  <c r="V24" i="9" s="1"/>
  <c r="O24" i="9"/>
  <c r="W24" i="9" s="1"/>
  <c r="P24" i="9"/>
  <c r="R24" i="9"/>
  <c r="Z24" i="9" s="1"/>
  <c r="Q24" i="9"/>
  <c r="Y24" i="9" s="1"/>
  <c r="K24" i="9"/>
  <c r="S24" i="9" s="1"/>
  <c r="L24" i="9"/>
  <c r="T24" i="9" s="1"/>
  <c r="L39" i="9"/>
  <c r="T39" i="9" s="1"/>
  <c r="M39" i="9"/>
  <c r="U39" i="9" s="1"/>
  <c r="K39" i="9"/>
  <c r="S39" i="9" s="1"/>
  <c r="R39" i="9"/>
  <c r="Z39" i="9" s="1"/>
  <c r="N39" i="9"/>
  <c r="V39" i="9" s="1"/>
  <c r="O39" i="9"/>
  <c r="W39" i="9" s="1"/>
  <c r="P39" i="9"/>
  <c r="Q39" i="9"/>
  <c r="R56" i="9"/>
  <c r="Z56" i="9" s="1"/>
  <c r="N56" i="9"/>
  <c r="V56" i="9" s="1"/>
  <c r="K56" i="9"/>
  <c r="S56" i="9" s="1"/>
  <c r="L56" i="9"/>
  <c r="T56" i="9" s="1"/>
  <c r="M56" i="9"/>
  <c r="U56" i="9" s="1"/>
  <c r="O56" i="9"/>
  <c r="W56" i="9" s="1"/>
  <c r="P56" i="9"/>
  <c r="Q56" i="9"/>
  <c r="L42" i="9"/>
  <c r="T42" i="9" s="1"/>
  <c r="K42" i="9"/>
  <c r="S42" i="9" s="1"/>
  <c r="M42" i="9"/>
  <c r="U42" i="9" s="1"/>
  <c r="O42" i="9"/>
  <c r="W42" i="9" s="1"/>
  <c r="R42" i="9"/>
  <c r="N42" i="9"/>
  <c r="V42" i="9" s="1"/>
  <c r="P42" i="9"/>
  <c r="Q42" i="9"/>
  <c r="Y42" i="9" s="1"/>
  <c r="Q49" i="9"/>
  <c r="Y49" i="9" s="1"/>
  <c r="R49" i="9"/>
  <c r="Z49" i="9" s="1"/>
  <c r="L49" i="9"/>
  <c r="T49" i="9" s="1"/>
  <c r="K49" i="9"/>
  <c r="S49" i="9" s="1"/>
  <c r="M49" i="9"/>
  <c r="U49" i="9" s="1"/>
  <c r="N49" i="9"/>
  <c r="V49" i="9" s="1"/>
  <c r="O49" i="9"/>
  <c r="W49" i="9" s="1"/>
  <c r="P49" i="9"/>
  <c r="X49" i="9" s="1"/>
  <c r="K33" i="9"/>
  <c r="S33" i="9" s="1"/>
  <c r="O33" i="9"/>
  <c r="W33" i="9" s="1"/>
  <c r="L33" i="9"/>
  <c r="T33" i="9" s="1"/>
  <c r="M33" i="9"/>
  <c r="U33" i="9" s="1"/>
  <c r="N33" i="9"/>
  <c r="V33" i="9" s="1"/>
  <c r="P33" i="9"/>
  <c r="Q33" i="9"/>
  <c r="Y33" i="9" s="1"/>
  <c r="R33" i="9"/>
  <c r="Z33" i="9" s="1"/>
  <c r="Q65" i="9"/>
  <c r="Y65" i="9" s="1"/>
  <c r="K65" i="9"/>
  <c r="S65" i="9" s="1"/>
  <c r="L65" i="9"/>
  <c r="T65" i="9" s="1"/>
  <c r="M65" i="9"/>
  <c r="U65" i="9" s="1"/>
  <c r="N65" i="9"/>
  <c r="V65" i="9" s="1"/>
  <c r="O65" i="9"/>
  <c r="W65" i="9" s="1"/>
  <c r="P65" i="9"/>
  <c r="R65" i="9"/>
  <c r="Q25" i="9"/>
  <c r="Y25" i="9" s="1"/>
  <c r="K25" i="9"/>
  <c r="S25" i="9" s="1"/>
  <c r="L25" i="9"/>
  <c r="T25" i="9" s="1"/>
  <c r="N25" i="9"/>
  <c r="V25" i="9" s="1"/>
  <c r="O25" i="9"/>
  <c r="W25" i="9" s="1"/>
  <c r="M25" i="9"/>
  <c r="U25" i="9" s="1"/>
  <c r="R25" i="9"/>
  <c r="P25" i="9"/>
  <c r="Q28" i="9"/>
  <c r="K28" i="9"/>
  <c r="S28" i="9" s="1"/>
  <c r="L28" i="9"/>
  <c r="T28" i="9" s="1"/>
  <c r="M28" i="9"/>
  <c r="U28" i="9" s="1"/>
  <c r="N28" i="9"/>
  <c r="V28" i="9" s="1"/>
  <c r="P28" i="9"/>
  <c r="R28" i="9"/>
  <c r="O28" i="9"/>
  <c r="W28" i="9" s="1"/>
  <c r="N21" i="9"/>
  <c r="V21" i="9" s="1"/>
  <c r="O21" i="9"/>
  <c r="W21" i="9" s="1"/>
  <c r="P21" i="9"/>
  <c r="R21" i="9"/>
  <c r="Q21" i="9"/>
  <c r="Y21" i="9" s="1"/>
  <c r="K21" i="9"/>
  <c r="S21" i="9" s="1"/>
  <c r="L21" i="9"/>
  <c r="T21" i="9" s="1"/>
  <c r="M21" i="9"/>
  <c r="U21" i="9" s="1"/>
  <c r="Q29" i="9"/>
  <c r="Y29" i="9" s="1"/>
  <c r="N29" i="9"/>
  <c r="V29" i="9" s="1"/>
  <c r="K29" i="9"/>
  <c r="S29" i="9" s="1"/>
  <c r="L29" i="9"/>
  <c r="T29" i="9" s="1"/>
  <c r="M29" i="9"/>
  <c r="U29" i="9" s="1"/>
  <c r="R29" i="9"/>
  <c r="O29" i="9"/>
  <c r="W29" i="9" s="1"/>
  <c r="P29" i="9"/>
  <c r="N41" i="9"/>
  <c r="V41" i="9" s="1"/>
  <c r="O41" i="9"/>
  <c r="W41" i="9" s="1"/>
  <c r="P41" i="9"/>
  <c r="R41" i="9"/>
  <c r="Z41" i="9" s="1"/>
  <c r="K41" i="9"/>
  <c r="S41" i="9" s="1"/>
  <c r="L41" i="9"/>
  <c r="T41" i="9" s="1"/>
  <c r="M41" i="9"/>
  <c r="U41" i="9" s="1"/>
  <c r="Q41" i="9"/>
  <c r="Y41" i="9" s="1"/>
  <c r="K62" i="9"/>
  <c r="S62" i="9" s="1"/>
  <c r="L62" i="9"/>
  <c r="T62" i="9" s="1"/>
  <c r="M62" i="9"/>
  <c r="U62" i="9" s="1"/>
  <c r="O62" i="9"/>
  <c r="W62" i="9" s="1"/>
  <c r="R62" i="9"/>
  <c r="Z62" i="9" s="1"/>
  <c r="N62" i="9"/>
  <c r="V62" i="9" s="1"/>
  <c r="Q62" i="9"/>
  <c r="Y62" i="9" s="1"/>
  <c r="P62" i="9"/>
  <c r="O18" i="9"/>
  <c r="W18" i="9" s="1"/>
  <c r="P18" i="9"/>
  <c r="R18" i="9"/>
  <c r="Q18" i="9"/>
  <c r="Y18" i="9" s="1"/>
  <c r="K18" i="9"/>
  <c r="S18" i="9" s="1"/>
  <c r="L18" i="9"/>
  <c r="T18" i="9" s="1"/>
  <c r="M18" i="9"/>
  <c r="U18" i="9" s="1"/>
  <c r="N18" i="9"/>
  <c r="V18" i="9" s="1"/>
  <c r="R63" i="9"/>
  <c r="Z63" i="9" s="1"/>
  <c r="L63" i="9"/>
  <c r="T63" i="9" s="1"/>
  <c r="M63" i="9"/>
  <c r="U63" i="9" s="1"/>
  <c r="N63" i="9"/>
  <c r="V63" i="9" s="1"/>
  <c r="O63" i="9"/>
  <c r="W63" i="9" s="1"/>
  <c r="Q63" i="9"/>
  <c r="Y63" i="9" s="1"/>
  <c r="P63" i="9"/>
  <c r="K63" i="9"/>
  <c r="S63" i="9" s="1"/>
  <c r="Q45" i="9"/>
  <c r="Y45" i="9" s="1"/>
  <c r="K45" i="9"/>
  <c r="S45" i="9" s="1"/>
  <c r="L45" i="9"/>
  <c r="T45" i="9" s="1"/>
  <c r="M45" i="9"/>
  <c r="U45" i="9" s="1"/>
  <c r="N45" i="9"/>
  <c r="V45" i="9" s="1"/>
  <c r="O45" i="9"/>
  <c r="W45" i="9" s="1"/>
  <c r="R45" i="9"/>
  <c r="P45" i="9"/>
  <c r="Q46" i="9"/>
  <c r="Y46" i="9" s="1"/>
  <c r="L46" i="9"/>
  <c r="T46" i="9" s="1"/>
  <c r="M46" i="9"/>
  <c r="U46" i="9" s="1"/>
  <c r="N46" i="9"/>
  <c r="V46" i="9" s="1"/>
  <c r="O46" i="9"/>
  <c r="W46" i="9" s="1"/>
  <c r="P46" i="9"/>
  <c r="R46" i="9"/>
  <c r="Z46" i="9" s="1"/>
  <c r="K46" i="9"/>
  <c r="S46" i="9" s="1"/>
  <c r="L47" i="9"/>
  <c r="T47" i="9" s="1"/>
  <c r="M47" i="9"/>
  <c r="U47" i="9" s="1"/>
  <c r="Q47" i="9"/>
  <c r="Y47" i="9" s="1"/>
  <c r="N47" i="9"/>
  <c r="V47" i="9" s="1"/>
  <c r="O47" i="9"/>
  <c r="W47" i="9" s="1"/>
  <c r="P47" i="9"/>
  <c r="K47" i="9"/>
  <c r="S47" i="9" s="1"/>
  <c r="R47" i="9"/>
  <c r="R23" i="9"/>
  <c r="Q23" i="9"/>
  <c r="K23" i="9"/>
  <c r="S23" i="9" s="1"/>
  <c r="O23" i="9"/>
  <c r="W23" i="9" s="1"/>
  <c r="L23" i="9"/>
  <c r="T23" i="9" s="1"/>
  <c r="M23" i="9"/>
  <c r="U23" i="9" s="1"/>
  <c r="N23" i="9"/>
  <c r="V23" i="9" s="1"/>
  <c r="P23" i="9"/>
  <c r="O38" i="9"/>
  <c r="W38" i="9" s="1"/>
  <c r="P38" i="9"/>
  <c r="R38" i="9"/>
  <c r="Z38" i="9" s="1"/>
  <c r="N38" i="9"/>
  <c r="V38" i="9" s="1"/>
  <c r="Q38" i="9"/>
  <c r="Y38" i="9" s="1"/>
  <c r="K38" i="9"/>
  <c r="S38" i="9" s="1"/>
  <c r="L38" i="9"/>
  <c r="T38" i="9" s="1"/>
  <c r="M38" i="9"/>
  <c r="U38" i="9" s="1"/>
  <c r="Q69" i="9"/>
  <c r="Y69" i="9" s="1"/>
  <c r="K69" i="9"/>
  <c r="S69" i="9" s="1"/>
  <c r="L69" i="9"/>
  <c r="T69" i="9" s="1"/>
  <c r="O69" i="9"/>
  <c r="W69" i="9" s="1"/>
  <c r="N69" i="9"/>
  <c r="V69" i="9" s="1"/>
  <c r="P69" i="9"/>
  <c r="M69" i="9"/>
  <c r="U69" i="9" s="1"/>
  <c r="R69" i="9"/>
  <c r="Z69" i="9" s="1"/>
  <c r="K10" i="9"/>
  <c r="S10" i="9" s="1"/>
  <c r="L10" i="9"/>
  <c r="T10" i="9" s="1"/>
  <c r="M10" i="9"/>
  <c r="U10" i="9" s="1"/>
  <c r="N10" i="9"/>
  <c r="V10" i="9" s="1"/>
  <c r="O10" i="9"/>
  <c r="W10" i="9" s="1"/>
  <c r="Q10" i="9"/>
  <c r="Y10" i="9" s="1"/>
  <c r="P10" i="9"/>
  <c r="R10" i="9"/>
  <c r="Z10" i="9" s="1"/>
  <c r="Q72" i="9"/>
  <c r="Y72" i="9" s="1"/>
  <c r="P72" i="9"/>
  <c r="L72" i="9"/>
  <c r="T72" i="9" s="1"/>
  <c r="M72" i="9"/>
  <c r="U72" i="9" s="1"/>
  <c r="N72" i="9"/>
  <c r="V72" i="9" s="1"/>
  <c r="K72" i="9"/>
  <c r="S72" i="9" s="1"/>
  <c r="O72" i="9"/>
  <c r="W72" i="9" s="1"/>
  <c r="R72" i="9"/>
  <c r="Z72" i="9" s="1"/>
  <c r="K70" i="9"/>
  <c r="S70" i="9" s="1"/>
  <c r="L70" i="9"/>
  <c r="T70" i="9" s="1"/>
  <c r="O70" i="9"/>
  <c r="W70" i="9" s="1"/>
  <c r="Q70" i="9"/>
  <c r="Y70" i="9" s="1"/>
  <c r="M70" i="9"/>
  <c r="U70" i="9" s="1"/>
  <c r="N70" i="9"/>
  <c r="V70" i="9" s="1"/>
  <c r="P70" i="9"/>
  <c r="R70" i="9"/>
  <c r="M64" i="9"/>
  <c r="U64" i="9" s="1"/>
  <c r="N64" i="9"/>
  <c r="V64" i="9" s="1"/>
  <c r="O64" i="9"/>
  <c r="W64" i="9" s="1"/>
  <c r="P64" i="9"/>
  <c r="R64" i="9"/>
  <c r="L64" i="9"/>
  <c r="T64" i="9" s="1"/>
  <c r="Q64" i="9"/>
  <c r="Y64" i="9" s="1"/>
  <c r="K64" i="9"/>
  <c r="S64" i="9" s="1"/>
  <c r="R59" i="9"/>
  <c r="Z59" i="9" s="1"/>
  <c r="K59" i="9"/>
  <c r="S59" i="9" s="1"/>
  <c r="M59" i="9"/>
  <c r="U59" i="9" s="1"/>
  <c r="L59" i="9"/>
  <c r="T59" i="9" s="1"/>
  <c r="N59" i="9"/>
  <c r="V59" i="9" s="1"/>
  <c r="O59" i="9"/>
  <c r="W59" i="9" s="1"/>
  <c r="P59" i="9"/>
  <c r="Q59" i="9"/>
  <c r="Y59" i="9" s="1"/>
  <c r="L7" i="9"/>
  <c r="T7" i="9" s="1"/>
  <c r="M7" i="9"/>
  <c r="U7" i="9" s="1"/>
  <c r="Q7" i="9"/>
  <c r="N7" i="9"/>
  <c r="V7" i="9" s="1"/>
  <c r="P7" i="9"/>
  <c r="O7" i="9"/>
  <c r="W7" i="9" s="1"/>
  <c r="K7" i="9"/>
  <c r="S7" i="9" s="1"/>
  <c r="R7" i="9"/>
  <c r="K74" i="9"/>
  <c r="S74" i="9" s="1"/>
  <c r="Q74" i="9"/>
  <c r="L74" i="9"/>
  <c r="T74" i="9" s="1"/>
  <c r="M74" i="9"/>
  <c r="U74" i="9" s="1"/>
  <c r="N74" i="9"/>
  <c r="V74" i="9" s="1"/>
  <c r="O74" i="9"/>
  <c r="W74" i="9" s="1"/>
  <c r="P74" i="9"/>
  <c r="R74" i="9"/>
  <c r="Z74" i="9" s="1"/>
  <c r="K73" i="9"/>
  <c r="S73" i="9" s="1"/>
  <c r="O73" i="9"/>
  <c r="W73" i="9" s="1"/>
  <c r="L73" i="9"/>
  <c r="T73" i="9" s="1"/>
  <c r="M73" i="9"/>
  <c r="U73" i="9" s="1"/>
  <c r="N73" i="9"/>
  <c r="V73" i="9" s="1"/>
  <c r="P73" i="9"/>
  <c r="Q73" i="9"/>
  <c r="Y73" i="9" s="1"/>
  <c r="R73" i="9"/>
  <c r="Z73" i="9" s="1"/>
  <c r="Q12" i="9"/>
  <c r="R12" i="9"/>
  <c r="Z12" i="9" s="1"/>
  <c r="M12" i="9"/>
  <c r="U12" i="9" s="1"/>
  <c r="O12" i="9"/>
  <c r="W12" i="9" s="1"/>
  <c r="N12" i="9"/>
  <c r="V12" i="9" s="1"/>
  <c r="P12" i="9"/>
  <c r="K12" i="9"/>
  <c r="S12" i="9" s="1"/>
  <c r="L12" i="9"/>
  <c r="T12" i="9" s="1"/>
  <c r="L67" i="9"/>
  <c r="T67" i="9" s="1"/>
  <c r="M67" i="9"/>
  <c r="U67" i="9" s="1"/>
  <c r="Q67" i="9"/>
  <c r="Y67" i="9" s="1"/>
  <c r="N67" i="9"/>
  <c r="V67" i="9" s="1"/>
  <c r="O67" i="9"/>
  <c r="W67" i="9" s="1"/>
  <c r="P67" i="9"/>
  <c r="R67" i="9"/>
  <c r="K67" i="9"/>
  <c r="S67" i="9" s="1"/>
  <c r="Q6" i="9"/>
  <c r="Y6" i="9" s="1"/>
  <c r="K6" i="9"/>
  <c r="S6" i="9" s="1"/>
  <c r="L6" i="9"/>
  <c r="T6" i="9" s="1"/>
  <c r="M6" i="9"/>
  <c r="U6" i="9" s="1"/>
  <c r="N6" i="9"/>
  <c r="V6" i="9" s="1"/>
  <c r="O6" i="9"/>
  <c r="W6" i="9" s="1"/>
  <c r="P6" i="9"/>
  <c r="R6" i="9"/>
  <c r="Z6" i="9" s="1"/>
  <c r="R14" i="9"/>
  <c r="Z14" i="9" s="1"/>
  <c r="K14" i="9"/>
  <c r="S14" i="9" s="1"/>
  <c r="L14" i="9"/>
  <c r="T14" i="9" s="1"/>
  <c r="Q14" i="9"/>
  <c r="Y14" i="9" s="1"/>
  <c r="M14" i="9"/>
  <c r="U14" i="9" s="1"/>
  <c r="N14" i="9"/>
  <c r="V14" i="9" s="1"/>
  <c r="O14" i="9"/>
  <c r="W14" i="9" s="1"/>
  <c r="P14" i="9"/>
  <c r="K22" i="9"/>
  <c r="S22" i="9" s="1"/>
  <c r="L22" i="9"/>
  <c r="T22" i="9" s="1"/>
  <c r="M22" i="9"/>
  <c r="U22" i="9" s="1"/>
  <c r="R22" i="9"/>
  <c r="Z22" i="9" s="1"/>
  <c r="N22" i="9"/>
  <c r="V22" i="9" s="1"/>
  <c r="O22" i="9"/>
  <c r="W22" i="9" s="1"/>
  <c r="P22" i="9"/>
  <c r="Q22" i="9"/>
  <c r="Y22" i="9" s="1"/>
  <c r="K30" i="9"/>
  <c r="S30" i="9" s="1"/>
  <c r="L30" i="9"/>
  <c r="T30" i="9" s="1"/>
  <c r="Q30" i="9"/>
  <c r="Y30" i="9" s="1"/>
  <c r="M30" i="9"/>
  <c r="U30" i="9" s="1"/>
  <c r="N30" i="9"/>
  <c r="V30" i="9" s="1"/>
  <c r="O30" i="9"/>
  <c r="W30" i="9" s="1"/>
  <c r="P30" i="9"/>
  <c r="R30" i="9"/>
  <c r="Z30" i="9" s="1"/>
  <c r="L27" i="9"/>
  <c r="T27" i="9" s="1"/>
  <c r="M27" i="9"/>
  <c r="U27" i="9" s="1"/>
  <c r="P27" i="9"/>
  <c r="Q27" i="9"/>
  <c r="Y27" i="9" s="1"/>
  <c r="N27" i="9"/>
  <c r="V27" i="9" s="1"/>
  <c r="O27" i="9"/>
  <c r="W27" i="9" s="1"/>
  <c r="R27" i="9"/>
  <c r="K27" i="9"/>
  <c r="S27" i="9" s="1"/>
  <c r="K53" i="9"/>
  <c r="S53" i="9" s="1"/>
  <c r="L53" i="9"/>
  <c r="T53" i="9" s="1"/>
  <c r="O53" i="9"/>
  <c r="W53" i="9" s="1"/>
  <c r="M53" i="9"/>
  <c r="U53" i="9" s="1"/>
  <c r="N53" i="9"/>
  <c r="V53" i="9" s="1"/>
  <c r="P53" i="9"/>
  <c r="Q53" i="9"/>
  <c r="Y53" i="9" s="1"/>
  <c r="R53" i="9"/>
  <c r="R40" i="9"/>
  <c r="L40" i="9"/>
  <c r="T40" i="9" s="1"/>
  <c r="M40" i="9"/>
  <c r="U40" i="9" s="1"/>
  <c r="O40" i="9"/>
  <c r="W40" i="9" s="1"/>
  <c r="P40" i="9"/>
  <c r="Q40" i="9"/>
  <c r="K40" i="9"/>
  <c r="S40" i="9" s="1"/>
  <c r="N40" i="9"/>
  <c r="V40" i="9" s="1"/>
  <c r="Q52" i="9"/>
  <c r="Y52" i="9" s="1"/>
  <c r="M52" i="9"/>
  <c r="U52" i="9" s="1"/>
  <c r="N52" i="9"/>
  <c r="V52" i="9" s="1"/>
  <c r="O52" i="9"/>
  <c r="W52" i="9" s="1"/>
  <c r="R52" i="9"/>
  <c r="P52" i="9"/>
  <c r="K52" i="9"/>
  <c r="S52" i="9" s="1"/>
  <c r="L52" i="9"/>
  <c r="T52" i="9" s="1"/>
  <c r="Q66" i="9"/>
  <c r="Y66" i="9" s="1"/>
  <c r="M66" i="9"/>
  <c r="U66" i="9" s="1"/>
  <c r="R66" i="9"/>
  <c r="Z66" i="9" s="1"/>
  <c r="N66" i="9"/>
  <c r="V66" i="9" s="1"/>
  <c r="O66" i="9"/>
  <c r="W66" i="9" s="1"/>
  <c r="L66" i="9"/>
  <c r="T66" i="9" s="1"/>
  <c r="K66" i="9"/>
  <c r="S66" i="9" s="1"/>
  <c r="P66" i="9"/>
  <c r="O58" i="9"/>
  <c r="W58" i="9" s="1"/>
  <c r="P58" i="9"/>
  <c r="R58" i="9"/>
  <c r="K58" i="9"/>
  <c r="S58" i="9" s="1"/>
  <c r="L58" i="9"/>
  <c r="T58" i="9" s="1"/>
  <c r="M58" i="9"/>
  <c r="U58" i="9" s="1"/>
  <c r="N58" i="9"/>
  <c r="V58" i="9" s="1"/>
  <c r="Q58" i="9"/>
  <c r="Y58" i="9" s="1"/>
  <c r="R37" i="9"/>
  <c r="Z37" i="9" s="1"/>
  <c r="M37" i="9"/>
  <c r="U37" i="9" s="1"/>
  <c r="N37" i="9"/>
  <c r="V37" i="9" s="1"/>
  <c r="O37" i="9"/>
  <c r="W37" i="9" s="1"/>
  <c r="P37" i="9"/>
  <c r="Q37" i="9"/>
  <c r="Y37" i="9" s="1"/>
  <c r="K37" i="9"/>
  <c r="S37" i="9" s="1"/>
  <c r="L37" i="9"/>
  <c r="T37" i="9" s="1"/>
  <c r="Q11" i="9"/>
  <c r="Y11" i="9" s="1"/>
  <c r="K11" i="9"/>
  <c r="S11" i="9" s="1"/>
  <c r="L11" i="9"/>
  <c r="T11" i="9" s="1"/>
  <c r="M11" i="9"/>
  <c r="U11" i="9" s="1"/>
  <c r="R11" i="9"/>
  <c r="N11" i="9"/>
  <c r="V11" i="9" s="1"/>
  <c r="O11" i="9"/>
  <c r="W11" i="9" s="1"/>
  <c r="P11" i="9"/>
  <c r="R17" i="9"/>
  <c r="K17" i="9"/>
  <c r="S17" i="9" s="1"/>
  <c r="L17" i="9"/>
  <c r="T17" i="9" s="1"/>
  <c r="Q17" i="9"/>
  <c r="Y17" i="9" s="1"/>
  <c r="M17" i="9"/>
  <c r="U17" i="9" s="1"/>
  <c r="P17" i="9"/>
  <c r="N17" i="9"/>
  <c r="V17" i="9" s="1"/>
  <c r="O17" i="9"/>
  <c r="W17" i="9" s="1"/>
  <c r="R20" i="9"/>
  <c r="Z20" i="9" s="1"/>
  <c r="O20" i="9"/>
  <c r="W20" i="9" s="1"/>
  <c r="Q20" i="9"/>
  <c r="Y20" i="9" s="1"/>
  <c r="P20" i="9"/>
  <c r="L20" i="9"/>
  <c r="T20" i="9" s="1"/>
  <c r="K20" i="9"/>
  <c r="S20" i="9" s="1"/>
  <c r="M20" i="9"/>
  <c r="U20" i="9" s="1"/>
  <c r="N20" i="9"/>
  <c r="V20" i="9" s="1"/>
  <c r="Q32" i="9"/>
  <c r="Y32" i="9" s="1"/>
  <c r="K32" i="9"/>
  <c r="S32" i="9" s="1"/>
  <c r="L32" i="9"/>
  <c r="T32" i="9" s="1"/>
  <c r="M32" i="9"/>
  <c r="U32" i="9" s="1"/>
  <c r="N32" i="9"/>
  <c r="V32" i="9" s="1"/>
  <c r="R32" i="9"/>
  <c r="P32" i="9"/>
  <c r="O32" i="9"/>
  <c r="W32" i="9" s="1"/>
  <c r="Q51" i="9"/>
  <c r="K51" i="9"/>
  <c r="S51" i="9" s="1"/>
  <c r="L51" i="9"/>
  <c r="T51" i="9" s="1"/>
  <c r="R51" i="9"/>
  <c r="Z51" i="9" s="1"/>
  <c r="P51" i="9"/>
  <c r="M51" i="9"/>
  <c r="U51" i="9" s="1"/>
  <c r="N51" i="9"/>
  <c r="V51" i="9" s="1"/>
  <c r="O51" i="9"/>
  <c r="W51" i="9" s="1"/>
  <c r="Q9" i="9"/>
  <c r="Y9" i="9" s="1"/>
  <c r="L9" i="9"/>
  <c r="T9" i="9" s="1"/>
  <c r="R9" i="9"/>
  <c r="Z9" i="9" s="1"/>
  <c r="M9" i="9"/>
  <c r="U9" i="9" s="1"/>
  <c r="N9" i="9"/>
  <c r="V9" i="9" s="1"/>
  <c r="O9" i="9"/>
  <c r="W9" i="9" s="1"/>
  <c r="P9" i="9"/>
  <c r="K9" i="9"/>
  <c r="S9" i="9" s="1"/>
  <c r="K54" i="9"/>
  <c r="S54" i="9" s="1"/>
  <c r="Q54" i="9"/>
  <c r="L54" i="9"/>
  <c r="T54" i="9" s="1"/>
  <c r="P54" i="9"/>
  <c r="M54" i="9"/>
  <c r="U54" i="9" s="1"/>
  <c r="N54" i="9"/>
  <c r="V54" i="9" s="1"/>
  <c r="R54" i="9"/>
  <c r="Z54" i="9" s="1"/>
  <c r="O54" i="9"/>
  <c r="W54" i="9" s="1"/>
  <c r="R60" i="9"/>
  <c r="Z60" i="9" s="1"/>
  <c r="Q60" i="9"/>
  <c r="M60" i="9"/>
  <c r="U60" i="9" s="1"/>
  <c r="O60" i="9"/>
  <c r="W60" i="9" s="1"/>
  <c r="P60" i="9"/>
  <c r="K60" i="9"/>
  <c r="S60" i="9" s="1"/>
  <c r="L60" i="9"/>
  <c r="T60" i="9" s="1"/>
  <c r="N60" i="9"/>
  <c r="V60" i="9" s="1"/>
  <c r="Q8" i="9"/>
  <c r="Y8" i="9" s="1"/>
  <c r="K8" i="9"/>
  <c r="S8" i="9" s="1"/>
  <c r="M8" i="9"/>
  <c r="U8" i="9" s="1"/>
  <c r="N8" i="9"/>
  <c r="V8" i="9" s="1"/>
  <c r="L8" i="9"/>
  <c r="T8" i="9" s="1"/>
  <c r="R8" i="9"/>
  <c r="Z8" i="9" s="1"/>
  <c r="O8" i="9"/>
  <c r="W8" i="9" s="1"/>
  <c r="P8" i="9"/>
  <c r="R36" i="9"/>
  <c r="Z36" i="9" s="1"/>
  <c r="K36" i="9"/>
  <c r="S36" i="9" s="1"/>
  <c r="L36" i="9"/>
  <c r="T36" i="9" s="1"/>
  <c r="M36" i="9"/>
  <c r="U36" i="9" s="1"/>
  <c r="N36" i="9"/>
  <c r="V36" i="9" s="1"/>
  <c r="O36" i="9"/>
  <c r="W36" i="9" s="1"/>
  <c r="P36" i="9"/>
  <c r="Q36" i="9"/>
  <c r="K50" i="9"/>
  <c r="S50" i="9" s="1"/>
  <c r="L50" i="9"/>
  <c r="T50" i="9" s="1"/>
  <c r="O50" i="9"/>
  <c r="W50" i="9" s="1"/>
  <c r="P50" i="9"/>
  <c r="M50" i="9"/>
  <c r="U50" i="9" s="1"/>
  <c r="N50" i="9"/>
  <c r="V50" i="9" s="1"/>
  <c r="Q50" i="9"/>
  <c r="Y50" i="9" s="1"/>
  <c r="R50" i="9"/>
  <c r="Z50" i="9" s="1"/>
  <c r="R55" i="9"/>
  <c r="Z55" i="9" s="1"/>
  <c r="P55" i="9"/>
  <c r="M55" i="9"/>
  <c r="U55" i="9" s="1"/>
  <c r="Q55" i="9"/>
  <c r="N55" i="9"/>
  <c r="V55" i="9" s="1"/>
  <c r="O55" i="9"/>
  <c r="W55" i="9" s="1"/>
  <c r="K55" i="9"/>
  <c r="S55" i="9" s="1"/>
  <c r="L55" i="9"/>
  <c r="T55" i="9" s="1"/>
  <c r="R35" i="9"/>
  <c r="P35" i="9"/>
  <c r="Q35" i="9"/>
  <c r="Y35" i="9" s="1"/>
  <c r="O35" i="9"/>
  <c r="W35" i="9" s="1"/>
  <c r="K35" i="9"/>
  <c r="S35" i="9" s="1"/>
  <c r="L35" i="9"/>
  <c r="T35" i="9" s="1"/>
  <c r="M35" i="9"/>
  <c r="U35" i="9" s="1"/>
  <c r="N35" i="9"/>
  <c r="V35" i="9" s="1"/>
  <c r="AV26" i="23"/>
  <c r="DG10" i="23"/>
  <c r="DG7" i="23"/>
  <c r="AQ22" i="9"/>
  <c r="H5" i="8"/>
  <c r="BF40" i="23"/>
  <c r="BF57" i="23"/>
  <c r="BF56" i="23"/>
  <c r="CY11" i="23"/>
  <c r="DF10" i="23"/>
  <c r="DG9" i="23"/>
  <c r="DG8" i="23"/>
  <c r="DF8" i="23"/>
  <c r="AW81" i="23"/>
  <c r="AW86" i="23" s="1"/>
  <c r="DF7" i="23"/>
  <c r="DF9" i="23"/>
  <c r="AX81" i="23"/>
  <c r="AX86" i="23" s="1"/>
  <c r="AW82" i="23"/>
  <c r="AW84" i="23"/>
  <c r="AW83" i="23"/>
  <c r="AX82" i="23"/>
  <c r="AX84" i="23"/>
  <c r="AX83" i="23"/>
  <c r="DG6" i="23"/>
  <c r="AR22" i="9"/>
  <c r="CL11" i="23"/>
  <c r="DF6" i="23"/>
  <c r="CX11" i="23"/>
  <c r="CD11" i="23"/>
  <c r="BF74" i="23"/>
  <c r="BF59" i="23"/>
  <c r="BF48" i="23"/>
  <c r="BF20" i="23"/>
  <c r="BF49" i="23"/>
  <c r="BF51" i="23"/>
  <c r="BF36" i="23"/>
  <c r="BF66" i="23"/>
  <c r="BF64" i="23"/>
  <c r="BF44" i="23"/>
  <c r="BF61" i="23"/>
  <c r="BF8" i="23"/>
  <c r="BF38" i="23"/>
  <c r="BF30" i="23"/>
  <c r="BF11" i="23"/>
  <c r="BF68" i="23"/>
  <c r="BF13" i="23"/>
  <c r="BF69" i="23"/>
  <c r="BF27" i="23"/>
  <c r="BF28" i="23"/>
  <c r="BF33" i="23"/>
  <c r="BF19" i="23"/>
  <c r="BF62" i="23"/>
  <c r="BF54" i="23"/>
  <c r="BF47" i="23"/>
  <c r="BF32" i="23"/>
  <c r="BF75" i="23"/>
  <c r="BF18" i="23"/>
  <c r="BF41" i="23"/>
  <c r="BF15" i="23"/>
  <c r="BF26" i="23"/>
  <c r="BF70" i="23"/>
  <c r="BF16" i="23"/>
  <c r="BF53" i="23"/>
  <c r="BF45" i="23"/>
  <c r="BF6" i="23"/>
  <c r="BF46" i="23"/>
  <c r="BF29" i="23"/>
  <c r="BF24" i="23"/>
  <c r="BF31" i="23"/>
  <c r="BF39" i="23"/>
  <c r="BF25" i="23"/>
  <c r="BF12" i="23"/>
  <c r="BF52" i="23"/>
  <c r="BF73" i="23"/>
  <c r="BF10" i="23"/>
  <c r="BF60" i="23"/>
  <c r="BF22" i="23"/>
  <c r="BF65" i="23"/>
  <c r="BF17" i="23"/>
  <c r="BF7" i="23"/>
  <c r="BF14" i="23"/>
  <c r="BF43" i="23"/>
  <c r="BF72" i="23"/>
  <c r="BF63" i="23"/>
  <c r="BF37" i="23"/>
  <c r="H67" i="8"/>
  <c r="I67" i="8" s="1"/>
  <c r="BF50" i="23" s="1"/>
  <c r="AP22" i="9"/>
  <c r="AN22" i="9"/>
  <c r="J79" i="9"/>
  <c r="M8" i="8"/>
  <c r="X41" i="9" l="1"/>
  <c r="AV28" i="23"/>
  <c r="Z28" i="9"/>
  <c r="X42" i="9"/>
  <c r="Y57" i="9"/>
  <c r="X71" i="9"/>
  <c r="BB61" i="23"/>
  <c r="X61" i="9"/>
  <c r="BB48" i="23"/>
  <c r="X48" i="9"/>
  <c r="X35" i="9"/>
  <c r="BC12" i="23"/>
  <c r="Y12" i="9"/>
  <c r="X22" i="9"/>
  <c r="X17" i="9"/>
  <c r="X52" i="9"/>
  <c r="X73" i="9"/>
  <c r="X28" i="9"/>
  <c r="X57" i="9"/>
  <c r="AT57" i="23" s="1"/>
  <c r="X70" i="9"/>
  <c r="BC51" i="23"/>
  <c r="Y51" i="9"/>
  <c r="AV52" i="23"/>
  <c r="Z52" i="9"/>
  <c r="AV42" i="23"/>
  <c r="Z42" i="9"/>
  <c r="AV57" i="23"/>
  <c r="Z57" i="9"/>
  <c r="X53" i="9"/>
  <c r="AV71" i="23"/>
  <c r="Z71" i="9"/>
  <c r="X8" i="9"/>
  <c r="X54" i="9"/>
  <c r="X45" i="9"/>
  <c r="BB29" i="23"/>
  <c r="X29" i="9"/>
  <c r="AV61" i="23"/>
  <c r="Z61" i="9"/>
  <c r="X32" i="9"/>
  <c r="AV27" i="23"/>
  <c r="Z27" i="9"/>
  <c r="AV67" i="23"/>
  <c r="Z67" i="9"/>
  <c r="X59" i="9"/>
  <c r="AV45" i="23"/>
  <c r="Z45" i="9"/>
  <c r="Z18" i="9"/>
  <c r="Y60" i="9"/>
  <c r="Y7" i="9"/>
  <c r="Y55" i="9"/>
  <c r="X55" i="9"/>
  <c r="AT22" i="23" s="1"/>
  <c r="Y54" i="9"/>
  <c r="AV32" i="23"/>
  <c r="Z32" i="9"/>
  <c r="X67" i="9"/>
  <c r="AT50" i="23" s="1"/>
  <c r="X69" i="9"/>
  <c r="BC23" i="23"/>
  <c r="Y23" i="9"/>
  <c r="X18" i="9"/>
  <c r="Z29" i="9"/>
  <c r="X33" i="9"/>
  <c r="X15" i="9"/>
  <c r="X19" i="9"/>
  <c r="X34" i="9"/>
  <c r="BB38" i="23"/>
  <c r="X38" i="9"/>
  <c r="BC61" i="23"/>
  <c r="Y61" i="9"/>
  <c r="Z23" i="9"/>
  <c r="Y28" i="9"/>
  <c r="Z17" i="9"/>
  <c r="X11" i="9"/>
  <c r="AV47" i="23"/>
  <c r="Z47" i="9"/>
  <c r="X62" i="9"/>
  <c r="AT7" i="23" s="1"/>
  <c r="X25" i="9"/>
  <c r="Y56" i="9"/>
  <c r="X24" i="9"/>
  <c r="AT10" i="23" s="1"/>
  <c r="AV68" i="23"/>
  <c r="Z68" i="9"/>
  <c r="X9" i="9"/>
  <c r="AV58" i="23"/>
  <c r="Z58" i="9"/>
  <c r="X27" i="9"/>
  <c r="X74" i="9"/>
  <c r="Z25" i="9"/>
  <c r="X56" i="9"/>
  <c r="X43" i="9"/>
  <c r="X58" i="9"/>
  <c r="Y40" i="9"/>
  <c r="X47" i="9"/>
  <c r="X75" i="9"/>
  <c r="X68" i="9"/>
  <c r="X40" i="9"/>
  <c r="X31" i="9"/>
  <c r="X14" i="9"/>
  <c r="X30" i="9"/>
  <c r="AV35" i="23"/>
  <c r="Z35" i="9"/>
  <c r="BB7" i="23"/>
  <c r="X7" i="9"/>
  <c r="X23" i="9"/>
  <c r="BB12" i="23"/>
  <c r="X12" i="9"/>
  <c r="Y74" i="9"/>
  <c r="X72" i="9"/>
  <c r="X13" i="9"/>
  <c r="X46" i="9"/>
  <c r="X37" i="9"/>
  <c r="AT54" i="23" s="1"/>
  <c r="AV11" i="23"/>
  <c r="Z11" i="9"/>
  <c r="X66" i="9"/>
  <c r="X44" i="9"/>
  <c r="AT60" i="23" s="1"/>
  <c r="X63" i="9"/>
  <c r="AT13" i="23" s="1"/>
  <c r="AV40" i="23"/>
  <c r="Z40" i="9"/>
  <c r="AV64" i="23"/>
  <c r="Z64" i="9"/>
  <c r="X5" i="9"/>
  <c r="X51" i="9"/>
  <c r="X50" i="9"/>
  <c r="Y36" i="9"/>
  <c r="X20" i="9"/>
  <c r="AV53" i="23"/>
  <c r="Z53" i="9"/>
  <c r="Z7" i="9"/>
  <c r="X64" i="9"/>
  <c r="AV21" i="23"/>
  <c r="Z21" i="9"/>
  <c r="AV65" i="23"/>
  <c r="Z65" i="9"/>
  <c r="Y39" i="9"/>
  <c r="AV70" i="23"/>
  <c r="Z70" i="9"/>
  <c r="X60" i="9"/>
  <c r="BB36" i="23"/>
  <c r="X36" i="9"/>
  <c r="AT19" i="23" s="1"/>
  <c r="BB6" i="23"/>
  <c r="X6" i="9"/>
  <c r="BB10" i="23"/>
  <c r="X10" i="9"/>
  <c r="X21" i="9"/>
  <c r="X65" i="9"/>
  <c r="AT33" i="23" s="1"/>
  <c r="BB39" i="23"/>
  <c r="X39" i="9"/>
  <c r="X16" i="9"/>
  <c r="AA93" i="9"/>
  <c r="AV54" i="23"/>
  <c r="AV63" i="23"/>
  <c r="AV75" i="23"/>
  <c r="AV34" i="23"/>
  <c r="AV14" i="23"/>
  <c r="AV16" i="23"/>
  <c r="AV48" i="23"/>
  <c r="AV56" i="23"/>
  <c r="AV49" i="23"/>
  <c r="AV9" i="23"/>
  <c r="AV31" i="23"/>
  <c r="AV19" i="23"/>
  <c r="AV41" i="23"/>
  <c r="AV62" i="23"/>
  <c r="AV39" i="23"/>
  <c r="AV43" i="23"/>
  <c r="AV46" i="23"/>
  <c r="AV13" i="23"/>
  <c r="AV5" i="23"/>
  <c r="AV50" i="23"/>
  <c r="AV72" i="23"/>
  <c r="AV8" i="23"/>
  <c r="AV74" i="23"/>
  <c r="AV66" i="23"/>
  <c r="AV12" i="23"/>
  <c r="AV59" i="23"/>
  <c r="AV20" i="23"/>
  <c r="AV22" i="23"/>
  <c r="AV6" i="23"/>
  <c r="AV73" i="23"/>
  <c r="AV24" i="23"/>
  <c r="BC66" i="23"/>
  <c r="BC29" i="23"/>
  <c r="BC71" i="23"/>
  <c r="BC9" i="23"/>
  <c r="BC62" i="23"/>
  <c r="BC5" i="23"/>
  <c r="BC31" i="23"/>
  <c r="BC30" i="23"/>
  <c r="BC14" i="23"/>
  <c r="BC45" i="23"/>
  <c r="AZ14" i="23"/>
  <c r="BC49" i="23"/>
  <c r="BC20" i="23"/>
  <c r="BB49" i="23"/>
  <c r="BC43" i="23"/>
  <c r="BC8" i="23"/>
  <c r="BC50" i="23"/>
  <c r="BC18" i="23"/>
  <c r="BC27" i="23"/>
  <c r="BC65" i="23"/>
  <c r="BC38" i="23"/>
  <c r="BC57" i="23"/>
  <c r="BC22" i="23"/>
  <c r="BC41" i="23"/>
  <c r="BC75" i="23"/>
  <c r="BC53" i="23"/>
  <c r="BC35" i="23"/>
  <c r="BC15" i="23"/>
  <c r="BC13" i="23"/>
  <c r="BC32" i="23"/>
  <c r="BC69" i="23"/>
  <c r="BC47" i="23"/>
  <c r="BC16" i="23"/>
  <c r="BC11" i="23"/>
  <c r="BC64" i="23"/>
  <c r="BC25" i="23"/>
  <c r="BC68" i="23"/>
  <c r="BC37" i="23"/>
  <c r="BC24" i="23"/>
  <c r="BC63" i="23"/>
  <c r="BC73" i="23"/>
  <c r="BC52" i="23"/>
  <c r="BC48" i="23"/>
  <c r="BC33" i="23"/>
  <c r="BC19" i="23"/>
  <c r="BC46" i="23"/>
  <c r="BC70" i="23"/>
  <c r="BC72" i="23"/>
  <c r="BC17" i="23"/>
  <c r="BC44" i="23"/>
  <c r="BC67" i="23"/>
  <c r="BC59" i="23"/>
  <c r="BB40" i="23"/>
  <c r="AV37" i="23"/>
  <c r="AV10" i="23"/>
  <c r="BH5" i="23"/>
  <c r="BB74" i="23"/>
  <c r="AZ49" i="23"/>
  <c r="AV33" i="23"/>
  <c r="AV15" i="23"/>
  <c r="AZ43" i="23"/>
  <c r="AY5" i="23"/>
  <c r="AV51" i="23"/>
  <c r="AV30" i="23"/>
  <c r="AV55" i="23"/>
  <c r="AV36" i="23"/>
  <c r="AY9" i="23"/>
  <c r="AV60" i="23"/>
  <c r="BB5" i="23"/>
  <c r="AY57" i="23"/>
  <c r="AV38" i="23"/>
  <c r="AV29" i="23"/>
  <c r="AV44" i="23"/>
  <c r="AV23" i="23"/>
  <c r="AV25" i="23"/>
  <c r="AV18" i="23"/>
  <c r="AV7" i="23"/>
  <c r="AV17" i="23"/>
  <c r="BG39" i="23"/>
  <c r="BH74" i="23"/>
  <c r="BB30" i="23"/>
  <c r="AY38" i="23"/>
  <c r="AZ27" i="23"/>
  <c r="BG11" i="23"/>
  <c r="AY74" i="23"/>
  <c r="AZ47" i="23"/>
  <c r="AT74" i="23"/>
  <c r="AZ61" i="23"/>
  <c r="AY60" i="23"/>
  <c r="BG50" i="23"/>
  <c r="BC36" i="23"/>
  <c r="AT43" i="23"/>
  <c r="BH9" i="23"/>
  <c r="AY41" i="23"/>
  <c r="AT11" i="23"/>
  <c r="AY49" i="23"/>
  <c r="BG46" i="23"/>
  <c r="BH31" i="23"/>
  <c r="AY50" i="23"/>
  <c r="AY29" i="23"/>
  <c r="BH49" i="23"/>
  <c r="BG33" i="23"/>
  <c r="BH70" i="23"/>
  <c r="BH68" i="23"/>
  <c r="AT44" i="23"/>
  <c r="AY7" i="23"/>
  <c r="AY39" i="23"/>
  <c r="AY31" i="23"/>
  <c r="BH35" i="23"/>
  <c r="H81" i="8"/>
  <c r="M9" i="8"/>
  <c r="N9" i="8" s="1"/>
  <c r="BF9" i="23"/>
  <c r="DG11" i="23"/>
  <c r="DF11" i="23"/>
  <c r="BF71" i="23"/>
  <c r="AY61" i="23"/>
  <c r="AZ32" i="23"/>
  <c r="BB42" i="23"/>
  <c r="AZ6" i="23"/>
  <c r="BG19" i="23"/>
  <c r="BH10" i="23"/>
  <c r="BB46" i="23"/>
  <c r="BG52" i="23"/>
  <c r="AZ68" i="23"/>
  <c r="BB14" i="23"/>
  <c r="AZ55" i="23"/>
  <c r="AT58" i="23"/>
  <c r="AY63" i="23"/>
  <c r="AZ31" i="23"/>
  <c r="AT49" i="23"/>
  <c r="AZ9" i="23"/>
  <c r="BB56" i="23"/>
  <c r="AT72" i="23"/>
  <c r="BB17" i="23"/>
  <c r="BH15" i="23"/>
  <c r="BB53" i="23"/>
  <c r="BG30" i="23"/>
  <c r="BG27" i="23"/>
  <c r="BG68" i="23"/>
  <c r="BH32" i="23"/>
  <c r="BB44" i="23"/>
  <c r="BH13" i="23"/>
  <c r="BB51" i="23"/>
  <c r="BC55" i="23"/>
  <c r="BH29" i="23"/>
  <c r="AZ25" i="23"/>
  <c r="AY8" i="23"/>
  <c r="AT28" i="23"/>
  <c r="AT51" i="23"/>
  <c r="BB69" i="23"/>
  <c r="BH28" i="23"/>
  <c r="AY58" i="23"/>
  <c r="AY33" i="23"/>
  <c r="BG36" i="23"/>
  <c r="BH26" i="23"/>
  <c r="AZ35" i="23"/>
  <c r="AT14" i="23"/>
  <c r="BF42" i="23"/>
  <c r="BF21" i="23"/>
  <c r="BF34" i="23"/>
  <c r="BF58" i="23"/>
  <c r="AZ33" i="23"/>
  <c r="BB31" i="23"/>
  <c r="BC39" i="23"/>
  <c r="BG48" i="23"/>
  <c r="AY68" i="23"/>
  <c r="AZ24" i="23"/>
  <c r="BG43" i="23"/>
  <c r="AY11" i="23"/>
  <c r="BG10" i="23"/>
  <c r="AZ50" i="23"/>
  <c r="BH7" i="23"/>
  <c r="BG47" i="23"/>
  <c r="BG75" i="23"/>
  <c r="AT48" i="23"/>
  <c r="BH33" i="23"/>
  <c r="AY43" i="23"/>
  <c r="AT36" i="23"/>
  <c r="BH24" i="23"/>
  <c r="AT41" i="23"/>
  <c r="AY75" i="23"/>
  <c r="AZ8" i="23"/>
  <c r="BH8" i="23"/>
  <c r="BG53" i="23"/>
  <c r="AT17" i="23"/>
  <c r="AZ62" i="23"/>
  <c r="AZ16" i="23"/>
  <c r="AZ13" i="23"/>
  <c r="AY16" i="23"/>
  <c r="BG22" i="23"/>
  <c r="AZ29" i="23"/>
  <c r="AT46" i="23"/>
  <c r="BB37" i="23"/>
  <c r="BG40" i="23"/>
  <c r="BG54" i="23"/>
  <c r="BH61" i="23"/>
  <c r="BH11" i="23"/>
  <c r="AT45" i="23"/>
  <c r="AZ41" i="23"/>
  <c r="BB20" i="23"/>
  <c r="BH36" i="23"/>
  <c r="AY53" i="23"/>
  <c r="AT27" i="23"/>
  <c r="BH37" i="23"/>
  <c r="BH53" i="23"/>
  <c r="AY27" i="23"/>
  <c r="AY51" i="23"/>
  <c r="AY22" i="23"/>
  <c r="AT61" i="23"/>
  <c r="AZ54" i="23"/>
  <c r="AT53" i="23"/>
  <c r="BG38" i="23"/>
  <c r="AZ36" i="23"/>
  <c r="BB70" i="23"/>
  <c r="BG60" i="23"/>
  <c r="AZ65" i="23"/>
  <c r="BH41" i="23"/>
  <c r="AY37" i="23"/>
  <c r="AY40" i="23"/>
  <c r="AZ37" i="23"/>
  <c r="BH40" i="23"/>
  <c r="BB57" i="23"/>
  <c r="BC7" i="23"/>
  <c r="AT29" i="23"/>
  <c r="BH44" i="23"/>
  <c r="BG57" i="23"/>
  <c r="BC74" i="23"/>
  <c r="BG74" i="23"/>
  <c r="BB27" i="23"/>
  <c r="BH39" i="23"/>
  <c r="AT56" i="23"/>
  <c r="BH57" i="23"/>
  <c r="BB9" i="23"/>
  <c r="AY10" i="23"/>
  <c r="AT70" i="23"/>
  <c r="BH17" i="23"/>
  <c r="AT18" i="23"/>
  <c r="BG17" i="23"/>
  <c r="AT8" i="23"/>
  <c r="BB62" i="23"/>
  <c r="BG28" i="23"/>
  <c r="BB22" i="23"/>
  <c r="BG70" i="23"/>
  <c r="BB13" i="23"/>
  <c r="AT6" i="23"/>
  <c r="BG29" i="23"/>
  <c r="BC40" i="23"/>
  <c r="AT39" i="23"/>
  <c r="AZ51" i="23"/>
  <c r="BH30" i="23"/>
  <c r="AZ10" i="23"/>
  <c r="BG25" i="23"/>
  <c r="BH46" i="23"/>
  <c r="BG41" i="23"/>
  <c r="BB11" i="23"/>
  <c r="AZ39" i="23"/>
  <c r="BG8" i="23"/>
  <c r="BG7" i="23"/>
  <c r="BG16" i="23"/>
  <c r="BH18" i="23"/>
  <c r="AZ63" i="23"/>
  <c r="AY66" i="23"/>
  <c r="AY6" i="23"/>
  <c r="BG13" i="23"/>
  <c r="BH66" i="23"/>
  <c r="BB43" i="23"/>
  <c r="BH50" i="23"/>
  <c r="AT40" i="23"/>
  <c r="AZ53" i="23"/>
  <c r="BG12" i="23"/>
  <c r="BB73" i="23"/>
  <c r="AY54" i="23"/>
  <c r="AY19" i="23"/>
  <c r="AT30" i="23"/>
  <c r="AY46" i="23"/>
  <c r="AT75" i="23"/>
  <c r="AZ56" i="23"/>
  <c r="AZ19" i="23"/>
  <c r="BH67" i="23"/>
  <c r="BH64" i="23"/>
  <c r="AY20" i="23"/>
  <c r="AT25" i="23"/>
  <c r="BG63" i="23"/>
  <c r="BB32" i="23"/>
  <c r="AY15" i="23"/>
  <c r="AZ7" i="23"/>
  <c r="AT24" i="23"/>
  <c r="BG69" i="23"/>
  <c r="AZ17" i="23"/>
  <c r="AY52" i="23"/>
  <c r="BH52" i="23"/>
  <c r="BH45" i="23"/>
  <c r="AZ60" i="23"/>
  <c r="AY35" i="23"/>
  <c r="AT52" i="23"/>
  <c r="AT12" i="23"/>
  <c r="BH56" i="23"/>
  <c r="BC28" i="23"/>
  <c r="AY30" i="23"/>
  <c r="BG45" i="23"/>
  <c r="AZ75" i="23"/>
  <c r="BB55" i="23"/>
  <c r="AT35" i="23"/>
  <c r="AY24" i="23"/>
  <c r="AT15" i="23"/>
  <c r="AT59" i="23"/>
  <c r="AY62" i="23"/>
  <c r="BG5" i="23"/>
  <c r="AT65" i="23"/>
  <c r="AZ22" i="23"/>
  <c r="BB47" i="23"/>
  <c r="BG31" i="23"/>
  <c r="BB41" i="23"/>
  <c r="AZ11" i="23"/>
  <c r="AZ40" i="23"/>
  <c r="AT73" i="23"/>
  <c r="BH27" i="23"/>
  <c r="AZ30" i="23"/>
  <c r="BB60" i="23"/>
  <c r="BH59" i="23"/>
  <c r="BH69" i="23"/>
  <c r="BH16" i="23"/>
  <c r="AZ26" i="23"/>
  <c r="AT64" i="23"/>
  <c r="AT20" i="23"/>
  <c r="AZ20" i="23"/>
  <c r="AY13" i="23"/>
  <c r="AY25" i="23"/>
  <c r="BB23" i="23"/>
  <c r="BG37" i="23"/>
  <c r="BG72" i="23"/>
  <c r="AT37" i="23"/>
  <c r="AY12" i="23"/>
  <c r="AY73" i="23"/>
  <c r="AZ74" i="23"/>
  <c r="AZ48" i="23"/>
  <c r="AZ38" i="23"/>
  <c r="BH51" i="23"/>
  <c r="BH22" i="23"/>
  <c r="AY47" i="23"/>
  <c r="AY45" i="23"/>
  <c r="AZ59" i="23"/>
  <c r="BG44" i="23"/>
  <c r="BH63" i="23"/>
  <c r="BB63" i="23"/>
  <c r="BG32" i="23"/>
  <c r="AY55" i="23"/>
  <c r="AY18" i="23"/>
  <c r="BB25" i="23"/>
  <c r="BG66" i="23"/>
  <c r="AY28" i="23"/>
  <c r="AT63" i="23"/>
  <c r="AT5" i="23"/>
  <c r="BB54" i="23"/>
  <c r="AZ52" i="23"/>
  <c r="BG56" i="23"/>
  <c r="AT31" i="23"/>
  <c r="BH73" i="23"/>
  <c r="AY56" i="23"/>
  <c r="AZ45" i="23"/>
  <c r="BG59" i="23"/>
  <c r="BB64" i="23"/>
  <c r="BB52" i="23"/>
  <c r="BB68" i="23"/>
  <c r="BB15" i="23"/>
  <c r="AY36" i="23"/>
  <c r="BH38" i="23"/>
  <c r="BH19" i="23"/>
  <c r="AT47" i="23"/>
  <c r="BG61" i="23"/>
  <c r="AY70" i="23"/>
  <c r="BH72" i="23"/>
  <c r="BH75" i="23"/>
  <c r="AT32" i="23"/>
  <c r="BB24" i="23"/>
  <c r="BH14" i="23"/>
  <c r="BH12" i="23"/>
  <c r="AZ12" i="23"/>
  <c r="AZ73" i="23"/>
  <c r="BH54" i="23"/>
  <c r="AZ28" i="23"/>
  <c r="BG62" i="23"/>
  <c r="BG49" i="23"/>
  <c r="BB50" i="23"/>
  <c r="BB33" i="23"/>
  <c r="BH6" i="23"/>
  <c r="BG9" i="23"/>
  <c r="AZ70" i="23"/>
  <c r="AY72" i="23"/>
  <c r="BC60" i="23"/>
  <c r="AZ18" i="23"/>
  <c r="AT16" i="23"/>
  <c r="AY26" i="23"/>
  <c r="BB65" i="23"/>
  <c r="AY48" i="23"/>
  <c r="BG64" i="23"/>
  <c r="BG24" i="23"/>
  <c r="BB19" i="23"/>
  <c r="BH65" i="23"/>
  <c r="AY32" i="23"/>
  <c r="BG35" i="23"/>
  <c r="BG55" i="23"/>
  <c r="AZ15" i="23"/>
  <c r="BH23" i="23"/>
  <c r="BG6" i="23"/>
  <c r="BG73" i="23"/>
  <c r="BC54" i="23"/>
  <c r="BC56" i="23"/>
  <c r="BB28" i="23"/>
  <c r="BG65" i="23"/>
  <c r="BH47" i="23"/>
  <c r="AZ72" i="23"/>
  <c r="AT68" i="23"/>
  <c r="BB45" i="23"/>
  <c r="BH55" i="23"/>
  <c r="BB18" i="23"/>
  <c r="BG14" i="23"/>
  <c r="BG18" i="23"/>
  <c r="AZ64" i="23"/>
  <c r="BB26" i="23"/>
  <c r="AT9" i="23"/>
  <c r="BH48" i="23"/>
  <c r="BB75" i="23"/>
  <c r="AY64" i="23"/>
  <c r="BB8" i="23"/>
  <c r="BG15" i="23"/>
  <c r="BG20" i="23"/>
  <c r="BH62" i="23"/>
  <c r="BH25" i="23"/>
  <c r="AZ23" i="23"/>
  <c r="BG23" i="23"/>
  <c r="AT38" i="23"/>
  <c r="AY65" i="23"/>
  <c r="BH20" i="23"/>
  <c r="BB16" i="23"/>
  <c r="AT69" i="23"/>
  <c r="AZ66" i="23"/>
  <c r="AT26" i="23"/>
  <c r="BB59" i="23"/>
  <c r="BB35" i="23"/>
  <c r="AT66" i="23"/>
  <c r="AY17" i="23"/>
  <c r="BG26" i="23"/>
  <c r="AZ46" i="23"/>
  <c r="BB66" i="23"/>
  <c r="AT55" i="23"/>
  <c r="AY44" i="23"/>
  <c r="AT62" i="23"/>
  <c r="AT23" i="23"/>
  <c r="BB72" i="23"/>
  <c r="AY59" i="23"/>
  <c r="AZ69" i="23"/>
  <c r="AZ44" i="23"/>
  <c r="AY14" i="23"/>
  <c r="BH60" i="23"/>
  <c r="AY23" i="23"/>
  <c r="AY69" i="23"/>
  <c r="BC26" i="23"/>
  <c r="R76" i="9"/>
  <c r="M76" i="9"/>
  <c r="AT67" i="23"/>
  <c r="X76" i="9"/>
  <c r="U76" i="9"/>
  <c r="AY67" i="23"/>
  <c r="T76" i="9"/>
  <c r="N76" i="9"/>
  <c r="BB67" i="23"/>
  <c r="P76" i="9"/>
  <c r="V76" i="9"/>
  <c r="AZ67" i="23"/>
  <c r="S76" i="9"/>
  <c r="S78" i="9" s="1"/>
  <c r="W76" i="9"/>
  <c r="O76" i="9"/>
  <c r="BG67" i="23"/>
  <c r="L76" i="9"/>
  <c r="AS22" i="9"/>
  <c r="BG51" i="23"/>
  <c r="K76" i="9"/>
  <c r="BH43" i="23"/>
  <c r="N8" i="8"/>
  <c r="I5" i="8"/>
  <c r="T78" i="9" l="1"/>
  <c r="U78" i="9"/>
  <c r="V78" i="9"/>
  <c r="X78" i="9"/>
  <c r="W78" i="9"/>
  <c r="CW8" i="23"/>
  <c r="CW7" i="23"/>
  <c r="CW9" i="23"/>
  <c r="DE8" i="23"/>
  <c r="AF81" i="23"/>
  <c r="CW10" i="23"/>
  <c r="BF35" i="23"/>
  <c r="I81" i="8"/>
  <c r="M7" i="8"/>
  <c r="N7" i="8" s="1"/>
  <c r="BF55" i="23"/>
  <c r="BG71" i="23"/>
  <c r="AI81" i="23"/>
  <c r="AI86" i="23" s="1"/>
  <c r="BH71" i="23"/>
  <c r="AJ81" i="23"/>
  <c r="AJ86" i="23" s="1"/>
  <c r="AD81" i="23"/>
  <c r="AD86" i="23" s="1"/>
  <c r="AY71" i="23"/>
  <c r="AQ81" i="23"/>
  <c r="AZ71" i="23"/>
  <c r="AR81" i="23"/>
  <c r="AT71" i="23"/>
  <c r="AL81" i="23"/>
  <c r="AJ83" i="23"/>
  <c r="AR83" i="23"/>
  <c r="AR84" i="23"/>
  <c r="AR82" i="23"/>
  <c r="AJ84" i="23"/>
  <c r="AI84" i="23"/>
  <c r="AI83" i="23"/>
  <c r="AI82" i="23"/>
  <c r="AL84" i="23"/>
  <c r="AD84" i="23"/>
  <c r="AJ82" i="23"/>
  <c r="AL83" i="23"/>
  <c r="AL82" i="23"/>
  <c r="AD83" i="23"/>
  <c r="AQ84" i="23"/>
  <c r="AD82" i="23"/>
  <c r="AQ83" i="23"/>
  <c r="AQ82" i="23"/>
  <c r="BH42" i="23"/>
  <c r="CS9" i="23"/>
  <c r="AZ34" i="23"/>
  <c r="DA8" i="23"/>
  <c r="BB21" i="23"/>
  <c r="CM7" i="23"/>
  <c r="AZ42" i="23"/>
  <c r="DA9" i="23"/>
  <c r="AZ21" i="23"/>
  <c r="DA7" i="23"/>
  <c r="AY21" i="23"/>
  <c r="CZ7" i="23"/>
  <c r="BG58" i="23"/>
  <c r="CR10" i="23"/>
  <c r="AY34" i="23"/>
  <c r="DH8" i="23" s="1"/>
  <c r="CZ8" i="23"/>
  <c r="BG34" i="23"/>
  <c r="CR8" i="23"/>
  <c r="AT42" i="23"/>
  <c r="CU9" i="23"/>
  <c r="BG42" i="23"/>
  <c r="CR9" i="23"/>
  <c r="CS6" i="23"/>
  <c r="AT34" i="23"/>
  <c r="DC8" i="23" s="1"/>
  <c r="CU8" i="23"/>
  <c r="BC58" i="23"/>
  <c r="CN10" i="23"/>
  <c r="BG21" i="23"/>
  <c r="CR7" i="23"/>
  <c r="CU10" i="23"/>
  <c r="AY42" i="23"/>
  <c r="CZ9" i="23"/>
  <c r="BH58" i="23"/>
  <c r="CS10" i="23"/>
  <c r="CZ6" i="23"/>
  <c r="BB58" i="23"/>
  <c r="CM10" i="23"/>
  <c r="CR6" i="23"/>
  <c r="AT21" i="23"/>
  <c r="CU7" i="23"/>
  <c r="BC42" i="23"/>
  <c r="CN9" i="23"/>
  <c r="AZ58" i="23"/>
  <c r="DA10" i="23"/>
  <c r="BH21" i="23"/>
  <c r="CS7" i="23"/>
  <c r="BC6" i="23"/>
  <c r="BH34" i="23"/>
  <c r="CS8" i="23"/>
  <c r="BC21" i="23"/>
  <c r="CN7" i="23"/>
  <c r="CZ10" i="23"/>
  <c r="CU6" i="23"/>
  <c r="AZ5" i="23"/>
  <c r="DA6" i="23"/>
  <c r="BC34" i="23"/>
  <c r="CN8" i="23"/>
  <c r="BB34" i="23"/>
  <c r="CM8" i="23"/>
  <c r="CM6" i="23"/>
  <c r="CM9" i="23"/>
  <c r="CQ7" i="23"/>
  <c r="Z76" i="9"/>
  <c r="Z78" i="9" s="1"/>
  <c r="M5" i="8"/>
  <c r="N5" i="8" s="1"/>
  <c r="BB71" i="23"/>
  <c r="M6" i="8"/>
  <c r="AL86" i="23" l="1"/>
  <c r="Q76" i="9"/>
  <c r="Y78" i="9" s="1"/>
  <c r="AU72" i="23"/>
  <c r="BA72" i="23" s="1"/>
  <c r="AQ86" i="23"/>
  <c r="AU44" i="23"/>
  <c r="BA44" i="23" s="1"/>
  <c r="DQ8" i="23"/>
  <c r="DI8" i="23"/>
  <c r="DK8" i="23"/>
  <c r="DH9" i="23"/>
  <c r="DL8" i="23"/>
  <c r="DP8" i="23"/>
  <c r="AV69" i="23"/>
  <c r="DE7" i="23" s="1"/>
  <c r="AN84" i="23"/>
  <c r="AN81" i="23"/>
  <c r="AN86" i="23" s="1"/>
  <c r="AN82" i="23"/>
  <c r="CW6" i="23"/>
  <c r="CW11" i="23" s="1"/>
  <c r="AN83" i="23"/>
  <c r="AR86" i="23"/>
  <c r="AU7" i="23"/>
  <c r="BA7" i="23" s="1"/>
  <c r="AU34" i="23"/>
  <c r="BA34" i="23" s="1"/>
  <c r="AU27" i="23"/>
  <c r="BA27" i="23" s="1"/>
  <c r="DK7" i="23"/>
  <c r="DP9" i="23"/>
  <c r="DI10" i="23"/>
  <c r="DC10" i="23"/>
  <c r="CQ9" i="23"/>
  <c r="CQ8" i="23"/>
  <c r="DL9" i="23"/>
  <c r="DQ9" i="23"/>
  <c r="DQ10" i="23"/>
  <c r="DC7" i="23"/>
  <c r="DP6" i="23"/>
  <c r="DP7" i="23"/>
  <c r="DI7" i="23"/>
  <c r="DL7" i="23"/>
  <c r="DH7" i="23"/>
  <c r="BH81" i="23"/>
  <c r="BG81" i="23"/>
  <c r="DC9" i="23"/>
  <c r="DQ6" i="23"/>
  <c r="DH10" i="23"/>
  <c r="DK9" i="23"/>
  <c r="DP10" i="23"/>
  <c r="AT81" i="23"/>
  <c r="AT86" i="23" s="1"/>
  <c r="AZ81" i="23"/>
  <c r="AZ86" i="23" s="1"/>
  <c r="AH81" i="23"/>
  <c r="DQ7" i="23"/>
  <c r="DH6" i="23"/>
  <c r="AY81" i="23"/>
  <c r="AY86" i="23" s="1"/>
  <c r="DC6" i="23"/>
  <c r="DL10" i="23"/>
  <c r="DI9" i="23"/>
  <c r="BB81" i="23"/>
  <c r="DK6" i="23"/>
  <c r="BH84" i="23"/>
  <c r="BG82" i="23"/>
  <c r="BB82" i="23"/>
  <c r="CQ6" i="23"/>
  <c r="AH83" i="23"/>
  <c r="AH82" i="23"/>
  <c r="AH84" i="23"/>
  <c r="BH83" i="23"/>
  <c r="BB84" i="23"/>
  <c r="BB83" i="23"/>
  <c r="BG83" i="23"/>
  <c r="BG84" i="23"/>
  <c r="BH82" i="23"/>
  <c r="AT84" i="23"/>
  <c r="AY84" i="23"/>
  <c r="DI6" i="23"/>
  <c r="AZ83" i="23"/>
  <c r="AZ84" i="23"/>
  <c r="AZ82" i="23"/>
  <c r="AY83" i="23"/>
  <c r="AT83" i="23"/>
  <c r="AT82" i="23"/>
  <c r="AY82" i="23"/>
  <c r="AU18" i="23"/>
  <c r="BA18" i="23" s="1"/>
  <c r="DK10" i="23"/>
  <c r="CZ11" i="23"/>
  <c r="AU53" i="23"/>
  <c r="BA53" i="23" s="1"/>
  <c r="AU21" i="23"/>
  <c r="BA21" i="23" s="1"/>
  <c r="AU30" i="23"/>
  <c r="BA30" i="23" s="1"/>
  <c r="AU19" i="23"/>
  <c r="BA19" i="23" s="1"/>
  <c r="AU42" i="23"/>
  <c r="BA42" i="23" s="1"/>
  <c r="CS11" i="23"/>
  <c r="CR11" i="23"/>
  <c r="CM11" i="23"/>
  <c r="CU11" i="23"/>
  <c r="DA11" i="23"/>
  <c r="BF67" i="23"/>
  <c r="DO7" i="23" s="1"/>
  <c r="CQ10" i="23"/>
  <c r="AU59" i="23"/>
  <c r="BA59" i="23" s="1"/>
  <c r="AU28" i="23"/>
  <c r="BA28" i="23" s="1"/>
  <c r="AU70" i="23"/>
  <c r="BA70" i="23" s="1"/>
  <c r="AU25" i="23"/>
  <c r="BA25" i="23" s="1"/>
  <c r="AU62" i="23"/>
  <c r="BA62" i="23" s="1"/>
  <c r="AU69" i="23"/>
  <c r="AU61" i="23"/>
  <c r="BA61" i="23" s="1"/>
  <c r="AU52" i="23"/>
  <c r="BA52" i="23" s="1"/>
  <c r="AU10" i="23"/>
  <c r="BA10" i="23" s="1"/>
  <c r="AU24" i="23"/>
  <c r="BA24" i="23" s="1"/>
  <c r="AU54" i="23"/>
  <c r="BA54" i="23" s="1"/>
  <c r="AU60" i="23"/>
  <c r="BA60" i="23" s="1"/>
  <c r="AU13" i="23"/>
  <c r="BA13" i="23" s="1"/>
  <c r="AU35" i="23"/>
  <c r="BA35" i="23" s="1"/>
  <c r="AU75" i="23"/>
  <c r="BA75" i="23" s="1"/>
  <c r="AU20" i="23"/>
  <c r="BA20" i="23" s="1"/>
  <c r="AU6" i="23"/>
  <c r="BA6" i="23" s="1"/>
  <c r="AU11" i="23"/>
  <c r="BA11" i="23" s="1"/>
  <c r="AU47" i="23"/>
  <c r="BA47" i="23" s="1"/>
  <c r="AU32" i="23"/>
  <c r="BA32" i="23" s="1"/>
  <c r="AU57" i="23"/>
  <c r="BA57" i="23" s="1"/>
  <c r="AU14" i="23"/>
  <c r="BA14" i="23" s="1"/>
  <c r="AU73" i="23"/>
  <c r="BA73" i="23" s="1"/>
  <c r="AU55" i="23"/>
  <c r="BA55" i="23" s="1"/>
  <c r="AU65" i="23"/>
  <c r="BA65" i="23" s="1"/>
  <c r="AU68" i="23"/>
  <c r="BA68" i="23" s="1"/>
  <c r="AU8" i="23"/>
  <c r="BA8" i="23" s="1"/>
  <c r="AU15" i="23"/>
  <c r="BA15" i="23" s="1"/>
  <c r="AU17" i="23"/>
  <c r="BA17" i="23" s="1"/>
  <c r="AU29" i="23"/>
  <c r="BA29" i="23" s="1"/>
  <c r="AU39" i="23"/>
  <c r="BA39" i="23" s="1"/>
  <c r="AU50" i="23"/>
  <c r="BA50" i="23" s="1"/>
  <c r="AU46" i="23"/>
  <c r="BA46" i="23" s="1"/>
  <c r="AU26" i="23"/>
  <c r="BA26" i="23" s="1"/>
  <c r="AU22" i="23"/>
  <c r="BA22" i="23" s="1"/>
  <c r="AU41" i="23"/>
  <c r="BA41" i="23" s="1"/>
  <c r="AU43" i="23"/>
  <c r="BA43" i="23" s="1"/>
  <c r="AU9" i="23"/>
  <c r="BA9" i="23" s="1"/>
  <c r="AU31" i="23"/>
  <c r="BA31" i="23" s="1"/>
  <c r="AU66" i="23"/>
  <c r="BA66" i="23" s="1"/>
  <c r="AU37" i="23"/>
  <c r="BA37" i="23" s="1"/>
  <c r="AU45" i="23"/>
  <c r="BA45" i="23" s="1"/>
  <c r="AU64" i="23"/>
  <c r="BA64" i="23" s="1"/>
  <c r="AU56" i="23"/>
  <c r="BA56" i="23" s="1"/>
  <c r="AU23" i="23"/>
  <c r="BA23" i="23" s="1"/>
  <c r="AU16" i="23"/>
  <c r="BA16" i="23" s="1"/>
  <c r="AU49" i="23"/>
  <c r="BA49" i="23" s="1"/>
  <c r="AU48" i="23"/>
  <c r="BA48" i="23" s="1"/>
  <c r="AU63" i="23"/>
  <c r="BA63" i="23" s="1"/>
  <c r="AU33" i="23"/>
  <c r="BA33" i="23" s="1"/>
  <c r="AU74" i="23"/>
  <c r="BA74" i="23" s="1"/>
  <c r="AU12" i="23"/>
  <c r="BA12" i="23" s="1"/>
  <c r="AU38" i="23"/>
  <c r="BA38" i="23" s="1"/>
  <c r="AU36" i="23"/>
  <c r="BA36" i="23" s="1"/>
  <c r="AU51" i="23"/>
  <c r="BA51" i="23" s="1"/>
  <c r="AU40" i="23"/>
  <c r="BA40" i="23" s="1"/>
  <c r="BF5" i="23"/>
  <c r="AU67" i="23"/>
  <c r="BA67" i="23" s="1"/>
  <c r="AS72" i="23"/>
  <c r="AS44" i="23"/>
  <c r="M10" i="8"/>
  <c r="O6" i="8" s="1"/>
  <c r="N6" i="8"/>
  <c r="N10" i="8" s="1"/>
  <c r="BC10" i="23" l="1"/>
  <c r="AE82" i="23"/>
  <c r="AE84" i="23"/>
  <c r="AE81" i="23"/>
  <c r="AE86" i="23" s="1"/>
  <c r="AE83" i="23"/>
  <c r="CN6" i="23"/>
  <c r="CN11" i="23" s="1"/>
  <c r="AS7" i="23"/>
  <c r="AS27" i="23"/>
  <c r="DE10" i="23"/>
  <c r="DE9" i="23"/>
  <c r="BA69" i="23"/>
  <c r="AS34" i="23"/>
  <c r="BB86" i="23"/>
  <c r="AV84" i="23"/>
  <c r="AV83" i="23"/>
  <c r="DE6" i="23"/>
  <c r="DE11" i="23" s="1"/>
  <c r="AV81" i="23"/>
  <c r="AV86" i="23" s="1"/>
  <c r="AV82" i="23"/>
  <c r="BH86" i="23"/>
  <c r="AH86" i="23"/>
  <c r="AP86" i="23"/>
  <c r="DQ11" i="23"/>
  <c r="BG86" i="23"/>
  <c r="DO9" i="23"/>
  <c r="DO8" i="23"/>
  <c r="DP11" i="23"/>
  <c r="DH11" i="23"/>
  <c r="DC11" i="23"/>
  <c r="DI11" i="23"/>
  <c r="AS65" i="23"/>
  <c r="DO10" i="23"/>
  <c r="BF81" i="23"/>
  <c r="BF86" i="23" s="1"/>
  <c r="AU71" i="23"/>
  <c r="AM81" i="23"/>
  <c r="AM86" i="23" s="1"/>
  <c r="DK11" i="23"/>
  <c r="BF82" i="23"/>
  <c r="BF84" i="23"/>
  <c r="BF83" i="23"/>
  <c r="AM84" i="23"/>
  <c r="AM82" i="23"/>
  <c r="AM83" i="23"/>
  <c r="CQ11" i="23"/>
  <c r="AS18" i="23"/>
  <c r="AS39" i="23"/>
  <c r="AS42" i="23"/>
  <c r="AS19" i="23"/>
  <c r="AS21" i="23"/>
  <c r="AS53" i="23"/>
  <c r="AS30" i="23"/>
  <c r="AU5" i="23"/>
  <c r="CV6" i="23"/>
  <c r="DO6" i="23"/>
  <c r="AU58" i="23"/>
  <c r="BA58" i="23" s="1"/>
  <c r="CV10" i="23"/>
  <c r="AS74" i="23"/>
  <c r="CV8" i="23"/>
  <c r="CV7" i="23"/>
  <c r="CV9" i="23"/>
  <c r="DD7" i="23"/>
  <c r="DD8" i="23"/>
  <c r="AS59" i="23"/>
  <c r="AS8" i="23"/>
  <c r="AS13" i="23"/>
  <c r="AS29" i="23"/>
  <c r="AS51" i="23"/>
  <c r="AS62" i="23"/>
  <c r="AS63" i="23"/>
  <c r="AS56" i="23"/>
  <c r="AS68" i="23"/>
  <c r="AS55" i="23"/>
  <c r="AS61" i="23"/>
  <c r="AS69" i="23"/>
  <c r="AS20" i="23"/>
  <c r="AS35" i="23"/>
  <c r="AS25" i="23"/>
  <c r="AS43" i="23"/>
  <c r="AS70" i="23"/>
  <c r="AS33" i="23"/>
  <c r="AS31" i="23"/>
  <c r="AS47" i="23"/>
  <c r="AS75" i="23"/>
  <c r="AS54" i="23"/>
  <c r="AS24" i="23"/>
  <c r="AS57" i="23"/>
  <c r="AS28" i="23"/>
  <c r="AS5" i="23"/>
  <c r="AS10" i="23"/>
  <c r="AS11" i="23"/>
  <c r="AS52" i="23"/>
  <c r="AS6" i="23"/>
  <c r="AS38" i="23"/>
  <c r="AS14" i="23"/>
  <c r="AS32" i="23"/>
  <c r="AS22" i="23"/>
  <c r="AS26" i="23"/>
  <c r="AS60" i="23"/>
  <c r="AS46" i="23"/>
  <c r="AS73" i="23"/>
  <c r="AS48" i="23"/>
  <c r="AS50" i="23"/>
  <c r="AS12" i="23"/>
  <c r="AS9" i="23"/>
  <c r="AS71" i="23"/>
  <c r="AS15" i="23"/>
  <c r="AS17" i="23"/>
  <c r="AS64" i="23"/>
  <c r="AS45" i="23"/>
  <c r="AS37" i="23"/>
  <c r="AS41" i="23"/>
  <c r="AS66" i="23"/>
  <c r="AS40" i="23"/>
  <c r="AS23" i="23"/>
  <c r="AS49" i="23"/>
  <c r="AS58" i="23"/>
  <c r="AS16" i="23"/>
  <c r="AS36" i="23"/>
  <c r="AS67" i="23"/>
  <c r="O7" i="8"/>
  <c r="O8" i="8"/>
  <c r="O5" i="8"/>
  <c r="O9" i="8"/>
  <c r="BC84" i="23" l="1"/>
  <c r="DL6" i="23"/>
  <c r="DL11" i="23" s="1"/>
  <c r="BC82" i="23"/>
  <c r="BC81" i="23"/>
  <c r="BC83" i="23"/>
  <c r="DO11" i="23"/>
  <c r="DD9" i="23"/>
  <c r="AS81" i="23"/>
  <c r="BA71" i="23"/>
  <c r="AU81" i="23"/>
  <c r="AS84" i="23"/>
  <c r="AS82" i="23"/>
  <c r="AS83" i="23"/>
  <c r="DD6" i="23"/>
  <c r="AU84" i="23"/>
  <c r="AU82" i="23"/>
  <c r="AU83" i="23"/>
  <c r="BA5" i="23"/>
  <c r="DB7" i="23"/>
  <c r="DB8" i="23"/>
  <c r="DD10" i="23"/>
  <c r="CV11" i="23"/>
  <c r="DB9" i="23"/>
  <c r="DB6" i="23"/>
  <c r="DB10" i="23"/>
  <c r="O10" i="8"/>
  <c r="DJ10" i="23" l="1"/>
  <c r="DJ7" i="23"/>
  <c r="AU86" i="23"/>
  <c r="BC86" i="23"/>
  <c r="DD11" i="23"/>
  <c r="DJ9" i="23"/>
  <c r="DJ8" i="23"/>
  <c r="BA81" i="23"/>
  <c r="BA86" i="23" s="1"/>
  <c r="DJ6" i="23"/>
  <c r="BA83" i="23"/>
  <c r="BA84" i="23"/>
  <c r="BA82" i="23"/>
  <c r="DB11" i="23"/>
  <c r="F75" i="4"/>
  <c r="H75" i="4" s="1"/>
  <c r="F74" i="4"/>
  <c r="G74" i="4" s="1"/>
  <c r="F73" i="4"/>
  <c r="G73" i="4" s="1"/>
  <c r="F72" i="4"/>
  <c r="G72" i="4" s="1"/>
  <c r="F71" i="4"/>
  <c r="H71" i="4" s="1"/>
  <c r="F70" i="4"/>
  <c r="G70" i="4" s="1"/>
  <c r="F69" i="4"/>
  <c r="H69" i="4" s="1"/>
  <c r="F68" i="4"/>
  <c r="G68" i="4" s="1"/>
  <c r="F66" i="4"/>
  <c r="G66" i="4" s="1"/>
  <c r="F65" i="4"/>
  <c r="G65" i="4" s="1"/>
  <c r="F64" i="4"/>
  <c r="G64" i="4" s="1"/>
  <c r="F63" i="4"/>
  <c r="G63" i="4" s="1"/>
  <c r="F62" i="4"/>
  <c r="G62" i="4" s="1"/>
  <c r="F61" i="4"/>
  <c r="G61" i="4" s="1"/>
  <c r="F60" i="4"/>
  <c r="H60" i="4" s="1"/>
  <c r="F59" i="4"/>
  <c r="H59" i="4" s="1"/>
  <c r="F58" i="4"/>
  <c r="F57" i="4"/>
  <c r="H57" i="4" s="1"/>
  <c r="F56" i="4"/>
  <c r="H56" i="4" s="1"/>
  <c r="F55" i="4"/>
  <c r="H55" i="4" s="1"/>
  <c r="F54" i="4"/>
  <c r="H54" i="4" s="1"/>
  <c r="F53" i="4"/>
  <c r="H53" i="4" s="1"/>
  <c r="F52" i="4"/>
  <c r="G52" i="4" s="1"/>
  <c r="F51" i="4"/>
  <c r="G51" i="4" s="1"/>
  <c r="F50" i="4"/>
  <c r="G50" i="4" s="1"/>
  <c r="F49" i="4"/>
  <c r="H49" i="4" s="1"/>
  <c r="F48" i="4"/>
  <c r="H48" i="4" s="1"/>
  <c r="F47" i="4"/>
  <c r="G47" i="4" s="1"/>
  <c r="F46" i="4"/>
  <c r="F45" i="4"/>
  <c r="G45" i="4" s="1"/>
  <c r="F44" i="4"/>
  <c r="H44" i="4" s="1"/>
  <c r="F43" i="4"/>
  <c r="G43" i="4" s="1"/>
  <c r="F42" i="4"/>
  <c r="F41" i="4"/>
  <c r="H41" i="4" s="1"/>
  <c r="F40" i="4"/>
  <c r="H40" i="4" s="1"/>
  <c r="F39" i="4"/>
  <c r="G39" i="4" s="1"/>
  <c r="F38" i="4"/>
  <c r="G38" i="4" s="1"/>
  <c r="F37" i="4"/>
  <c r="G37" i="4" s="1"/>
  <c r="F36" i="4"/>
  <c r="G36" i="4" s="1"/>
  <c r="F35" i="4"/>
  <c r="G35" i="4" s="1"/>
  <c r="F34" i="4"/>
  <c r="F33" i="4"/>
  <c r="G33" i="4" s="1"/>
  <c r="F32" i="4"/>
  <c r="G32" i="4" s="1"/>
  <c r="F31" i="4"/>
  <c r="G31" i="4" s="1"/>
  <c r="F30" i="4"/>
  <c r="F29" i="4"/>
  <c r="H29" i="4" s="1"/>
  <c r="F28" i="4"/>
  <c r="H28" i="4" s="1"/>
  <c r="F27" i="4"/>
  <c r="H27" i="4" s="1"/>
  <c r="F26" i="4"/>
  <c r="H26" i="4" s="1"/>
  <c r="F25" i="4"/>
  <c r="H25" i="4" s="1"/>
  <c r="F24" i="4"/>
  <c r="H24" i="4" s="1"/>
  <c r="F23" i="4"/>
  <c r="H23" i="4" s="1"/>
  <c r="F22" i="4"/>
  <c r="H22" i="4" s="1"/>
  <c r="F21" i="4"/>
  <c r="F20" i="4"/>
  <c r="G20" i="4" s="1"/>
  <c r="F19" i="4"/>
  <c r="H19" i="4" s="1"/>
  <c r="F18" i="4"/>
  <c r="H18" i="4" s="1"/>
  <c r="F17" i="4"/>
  <c r="H17" i="4" s="1"/>
  <c r="F16" i="4"/>
  <c r="F15" i="4"/>
  <c r="G15" i="4" s="1"/>
  <c r="F14" i="4"/>
  <c r="H14" i="4" s="1"/>
  <c r="F13" i="4"/>
  <c r="H13" i="4" s="1"/>
  <c r="F12" i="4"/>
  <c r="H12" i="4" s="1"/>
  <c r="F11" i="4"/>
  <c r="G11" i="4" s="1"/>
  <c r="F10" i="4"/>
  <c r="H10" i="4" s="1"/>
  <c r="F9" i="4"/>
  <c r="H9" i="4" s="1"/>
  <c r="F8" i="4"/>
  <c r="H8" i="4" s="1"/>
  <c r="F7" i="4"/>
  <c r="G7" i="4" s="1"/>
  <c r="F6" i="4"/>
  <c r="H6" i="4" s="1"/>
  <c r="F5" i="4"/>
  <c r="H43" i="5"/>
  <c r="H44" i="5"/>
  <c r="H48" i="5"/>
  <c r="H52" i="5"/>
  <c r="H32" i="5"/>
  <c r="H35" i="5"/>
  <c r="H37" i="5"/>
  <c r="H41" i="5"/>
  <c r="H15" i="5"/>
  <c r="H9" i="5"/>
  <c r="H10" i="5"/>
  <c r="H26" i="5"/>
  <c r="H27" i="5"/>
  <c r="H42" i="5"/>
  <c r="H28" i="5"/>
  <c r="H29" i="5"/>
  <c r="H30" i="5"/>
  <c r="H11" i="5"/>
  <c r="H12" i="5"/>
  <c r="H6" i="5"/>
  <c r="H16" i="5"/>
  <c r="H39" i="5"/>
  <c r="H40" i="5"/>
  <c r="H38" i="5"/>
  <c r="H53" i="5"/>
  <c r="H45" i="5"/>
  <c r="H49" i="5"/>
  <c r="H54" i="5"/>
  <c r="H59" i="5"/>
  <c r="H20" i="5"/>
  <c r="H55" i="5"/>
  <c r="H36" i="5"/>
  <c r="H56" i="5"/>
  <c r="H7" i="5"/>
  <c r="H21" i="5"/>
  <c r="H17" i="5"/>
  <c r="H60" i="5"/>
  <c r="H61" i="5"/>
  <c r="H69" i="5"/>
  <c r="H62" i="5"/>
  <c r="H73" i="5"/>
  <c r="H63" i="5"/>
  <c r="H22" i="5"/>
  <c r="H74" i="5"/>
  <c r="H33" i="5"/>
  <c r="H57" i="5"/>
  <c r="H50" i="5"/>
  <c r="H46" i="5"/>
  <c r="H23" i="5"/>
  <c r="H24" i="5"/>
  <c r="H58" i="5"/>
  <c r="H70" i="5"/>
  <c r="H25" i="5"/>
  <c r="H18" i="5"/>
  <c r="H13" i="5"/>
  <c r="H8" i="5"/>
  <c r="H14" i="5"/>
  <c r="H19" i="5"/>
  <c r="H34" i="5"/>
  <c r="H31" i="5"/>
  <c r="H51" i="5"/>
  <c r="H47" i="5"/>
  <c r="H71" i="5"/>
  <c r="H64" i="5"/>
  <c r="H65" i="5"/>
  <c r="H75" i="5"/>
  <c r="H76" i="5"/>
  <c r="H66" i="5"/>
  <c r="H67" i="5"/>
  <c r="H72" i="5"/>
  <c r="H68" i="5"/>
  <c r="U25" i="14"/>
  <c r="L80" i="3"/>
  <c r="H9" i="3"/>
  <c r="I9" i="3" s="1"/>
  <c r="H10" i="3"/>
  <c r="I10" i="3" s="1"/>
  <c r="H11" i="3"/>
  <c r="I11" i="3" s="1"/>
  <c r="H5" i="3"/>
  <c r="I5" i="3" s="1"/>
  <c r="H15" i="3"/>
  <c r="I15" i="3" s="1"/>
  <c r="H19" i="3"/>
  <c r="I19" i="3" s="1"/>
  <c r="H6" i="3"/>
  <c r="I6" i="3" s="1"/>
  <c r="H20" i="3"/>
  <c r="I20" i="3" s="1"/>
  <c r="H16" i="3"/>
  <c r="I16" i="3" s="1"/>
  <c r="H17" i="3"/>
  <c r="I17" i="3" s="1"/>
  <c r="H12" i="3"/>
  <c r="I12" i="3" s="1"/>
  <c r="H7" i="3"/>
  <c r="I7" i="3" s="1"/>
  <c r="H13" i="3"/>
  <c r="I13" i="3" s="1"/>
  <c r="H18" i="3"/>
  <c r="I18" i="3" s="1"/>
  <c r="H31" i="3"/>
  <c r="I31" i="3" s="1"/>
  <c r="H25" i="3"/>
  <c r="I25" i="3" s="1"/>
  <c r="H26" i="3"/>
  <c r="I26" i="3" s="1"/>
  <c r="H27" i="3"/>
  <c r="I27" i="3" s="1"/>
  <c r="H28" i="3"/>
  <c r="I28" i="3" s="1"/>
  <c r="H29" i="3"/>
  <c r="I29" i="3" s="1"/>
  <c r="H21" i="3"/>
  <c r="I21" i="3" s="1"/>
  <c r="H32" i="3"/>
  <c r="I32" i="3" s="1"/>
  <c r="H22" i="3"/>
  <c r="I22" i="3" s="1"/>
  <c r="H23" i="3"/>
  <c r="I23" i="3" s="1"/>
  <c r="H24" i="3"/>
  <c r="I24" i="3" s="1"/>
  <c r="H33" i="3"/>
  <c r="I33" i="3" s="1"/>
  <c r="H30" i="3"/>
  <c r="I30" i="3" s="1"/>
  <c r="H34" i="3"/>
  <c r="I34" i="3" s="1"/>
  <c r="H36" i="3"/>
  <c r="I36" i="3" s="1"/>
  <c r="H40" i="3"/>
  <c r="I40" i="3" s="1"/>
  <c r="H41" i="3"/>
  <c r="I41" i="3" s="1"/>
  <c r="H38" i="3"/>
  <c r="I38" i="3" s="1"/>
  <c r="H39" i="3"/>
  <c r="I39" i="3" s="1"/>
  <c r="H37" i="3"/>
  <c r="I37" i="3" s="1"/>
  <c r="H35" i="3"/>
  <c r="I35" i="3" s="1"/>
  <c r="H42" i="3"/>
  <c r="I42" i="3" s="1"/>
  <c r="H43" i="3"/>
  <c r="I43" i="3" s="1"/>
  <c r="H47" i="3"/>
  <c r="I47" i="3" s="1"/>
  <c r="H51" i="3"/>
  <c r="I51" i="3" s="1"/>
  <c r="H52" i="3"/>
  <c r="I52" i="3" s="1"/>
  <c r="H44" i="3"/>
  <c r="I44" i="3" s="1"/>
  <c r="H48" i="3"/>
  <c r="I48" i="3" s="1"/>
  <c r="H53" i="3"/>
  <c r="I53" i="3" s="1"/>
  <c r="H54" i="3"/>
  <c r="I54" i="3" s="1"/>
  <c r="H55" i="3"/>
  <c r="I55" i="3" s="1"/>
  <c r="H56" i="3"/>
  <c r="I56" i="3" s="1"/>
  <c r="H49" i="3"/>
  <c r="I49" i="3" s="1"/>
  <c r="H45" i="3"/>
  <c r="I45" i="3" s="1"/>
  <c r="H57" i="3"/>
  <c r="I57" i="3" s="1"/>
  <c r="H50" i="3"/>
  <c r="I50" i="3" s="1"/>
  <c r="H46" i="3"/>
  <c r="I46" i="3" s="1"/>
  <c r="H67" i="3"/>
  <c r="I67" i="3" s="1"/>
  <c r="H71" i="3"/>
  <c r="I71" i="3" s="1"/>
  <c r="H58" i="3"/>
  <c r="I58" i="3" s="1"/>
  <c r="H59" i="3"/>
  <c r="I59" i="3" s="1"/>
  <c r="H60" i="3"/>
  <c r="I60" i="3" s="1"/>
  <c r="H68" i="3"/>
  <c r="I68" i="3" s="1"/>
  <c r="H61" i="3"/>
  <c r="I61" i="3" s="1"/>
  <c r="H72" i="3"/>
  <c r="I72" i="3" s="1"/>
  <c r="H62" i="3"/>
  <c r="I62" i="3" s="1"/>
  <c r="H73" i="3"/>
  <c r="I73" i="3" s="1"/>
  <c r="H69" i="3"/>
  <c r="I69" i="3" s="1"/>
  <c r="H70" i="3"/>
  <c r="I70" i="3" s="1"/>
  <c r="H63" i="3"/>
  <c r="I63" i="3" s="1"/>
  <c r="H64" i="3"/>
  <c r="I64" i="3" s="1"/>
  <c r="H74" i="3"/>
  <c r="I74" i="3" s="1"/>
  <c r="H75" i="3"/>
  <c r="I75" i="3" s="1"/>
  <c r="H65" i="3"/>
  <c r="I65" i="3" s="1"/>
  <c r="H66" i="3"/>
  <c r="I66" i="3" s="1"/>
  <c r="H8" i="3"/>
  <c r="I8" i="3" s="1"/>
  <c r="H14" i="3"/>
  <c r="I14" i="3" s="1"/>
  <c r="G80" i="3"/>
  <c r="G79" i="3"/>
  <c r="N7" i="22"/>
  <c r="N8" i="22"/>
  <c r="N9" i="22"/>
  <c r="N10" i="22"/>
  <c r="N11" i="22"/>
  <c r="N12" i="22"/>
  <c r="N13" i="22"/>
  <c r="N14" i="22"/>
  <c r="N15" i="22"/>
  <c r="N16" i="22"/>
  <c r="N25" i="22" s="1"/>
  <c r="N17" i="22"/>
  <c r="O17" i="22" s="1"/>
  <c r="P17" i="22" s="1"/>
  <c r="Q17" i="22" s="1"/>
  <c r="R17" i="22" s="1"/>
  <c r="P17" i="18" s="1"/>
  <c r="X17" i="18" s="1"/>
  <c r="AF17" i="18" s="1"/>
  <c r="N18" i="22"/>
  <c r="N19" i="22"/>
  <c r="N20" i="22"/>
  <c r="N21" i="22"/>
  <c r="N22" i="22"/>
  <c r="N23" i="22"/>
  <c r="Q24" i="21"/>
  <c r="O27" i="21"/>
  <c r="P27" i="21" s="1"/>
  <c r="O28" i="21"/>
  <c r="P28" i="21" s="1"/>
  <c r="S25" i="21" s="1"/>
  <c r="O29" i="21"/>
  <c r="P29" i="21" s="1"/>
  <c r="T25" i="21" s="1"/>
  <c r="O30" i="21"/>
  <c r="P30" i="21" s="1"/>
  <c r="O31" i="21"/>
  <c r="P31" i="21" s="1"/>
  <c r="E32" i="21"/>
  <c r="F31" i="21" s="1"/>
  <c r="I43" i="21"/>
  <c r="M43" i="21" s="1"/>
  <c r="Q43" i="21" s="1"/>
  <c r="J43" i="21"/>
  <c r="K43" i="21"/>
  <c r="L43" i="21"/>
  <c r="P43" i="21" s="1"/>
  <c r="N43" i="21"/>
  <c r="S43" i="21" s="1"/>
  <c r="AJ8" i="21" s="1"/>
  <c r="O43" i="21"/>
  <c r="T43" i="21"/>
  <c r="AK8" i="21" s="1"/>
  <c r="U43" i="21"/>
  <c r="V43" i="21"/>
  <c r="I44" i="21"/>
  <c r="M44" i="21" s="1"/>
  <c r="Q44" i="21" s="1"/>
  <c r="AI9" i="21" s="1"/>
  <c r="J44" i="21"/>
  <c r="N44" i="21" s="1"/>
  <c r="K44" i="21"/>
  <c r="O44" i="21" s="1"/>
  <c r="U44" i="21" s="1"/>
  <c r="AL9" i="21" s="1"/>
  <c r="L44" i="21"/>
  <c r="P44" i="21" s="1"/>
  <c r="I45" i="21"/>
  <c r="M45" i="21" s="1"/>
  <c r="Q45" i="21" s="1"/>
  <c r="AI10" i="21" s="1"/>
  <c r="J45" i="21"/>
  <c r="N45" i="21" s="1"/>
  <c r="K45" i="21"/>
  <c r="O45" i="21" s="1"/>
  <c r="U45" i="21" s="1"/>
  <c r="AL10" i="21" s="1"/>
  <c r="L45" i="21"/>
  <c r="P45" i="21" s="1"/>
  <c r="I46" i="21"/>
  <c r="M46" i="21" s="1"/>
  <c r="Q46" i="21" s="1"/>
  <c r="AI11" i="21" s="1"/>
  <c r="J46" i="21"/>
  <c r="K46" i="21"/>
  <c r="L46" i="21"/>
  <c r="N46" i="21"/>
  <c r="S46" i="21" s="1"/>
  <c r="AJ11" i="21" s="1"/>
  <c r="O46" i="21"/>
  <c r="P46" i="21"/>
  <c r="W46" i="21" s="1"/>
  <c r="U46" i="21"/>
  <c r="AL11" i="21" s="1"/>
  <c r="V46" i="21"/>
  <c r="AM11" i="21" s="1"/>
  <c r="I47" i="21"/>
  <c r="M47" i="21" s="1"/>
  <c r="Q47" i="21" s="1"/>
  <c r="AI12" i="21" s="1"/>
  <c r="J47" i="21"/>
  <c r="N47" i="21" s="1"/>
  <c r="K47" i="21"/>
  <c r="O47" i="21" s="1"/>
  <c r="U47" i="21" s="1"/>
  <c r="AL12" i="21" s="1"/>
  <c r="L47" i="21"/>
  <c r="P47" i="21" s="1"/>
  <c r="AY8" i="21"/>
  <c r="AZ8" i="21"/>
  <c r="BA8" i="21"/>
  <c r="AY9" i="21"/>
  <c r="AZ9" i="21"/>
  <c r="BA9" i="21"/>
  <c r="AY10" i="21"/>
  <c r="AZ10" i="21"/>
  <c r="BA10" i="21"/>
  <c r="AY11" i="21"/>
  <c r="AZ11" i="21"/>
  <c r="BA11" i="21"/>
  <c r="AY12" i="21"/>
  <c r="AZ12" i="21"/>
  <c r="BA12" i="21"/>
  <c r="M24" i="20"/>
  <c r="N7" i="20" s="1"/>
  <c r="O26" i="20"/>
  <c r="F36" i="20"/>
  <c r="AP10" i="20" s="1"/>
  <c r="AP7" i="20"/>
  <c r="AQ7" i="20"/>
  <c r="AR7" i="20"/>
  <c r="AS7" i="20"/>
  <c r="AT7" i="20"/>
  <c r="AP8" i="20"/>
  <c r="AQ8" i="20"/>
  <c r="AR8" i="20"/>
  <c r="AS8" i="20"/>
  <c r="AT8" i="20"/>
  <c r="AP9" i="20"/>
  <c r="AQ9" i="20"/>
  <c r="AR9" i="20"/>
  <c r="AS9" i="20"/>
  <c r="AT9" i="20"/>
  <c r="AR10" i="20"/>
  <c r="AD63" i="20"/>
  <c r="AP6" i="19" a="1"/>
  <c r="AP6" i="19"/>
  <c r="AQ6" i="19"/>
  <c r="AR6" i="19"/>
  <c r="AS6" i="19"/>
  <c r="AT6" i="19"/>
  <c r="N11" i="19"/>
  <c r="O11" i="19" s="1"/>
  <c r="N16" i="19"/>
  <c r="O16" i="19" s="1"/>
  <c r="N21" i="19"/>
  <c r="O21" i="19" s="1"/>
  <c r="L25" i="19"/>
  <c r="M25" i="19"/>
  <c r="V25" i="19"/>
  <c r="AJ25" i="19" s="1"/>
  <c r="W25" i="19"/>
  <c r="AK25" i="19" s="1"/>
  <c r="Z25" i="19"/>
  <c r="AA25" i="19"/>
  <c r="AB25" i="19"/>
  <c r="AC25" i="19"/>
  <c r="AE25" i="19"/>
  <c r="AF25" i="19"/>
  <c r="AG25" i="19"/>
  <c r="AH25" i="19"/>
  <c r="AI25" i="19"/>
  <c r="G33" i="19"/>
  <c r="G49" i="19" s="1"/>
  <c r="H34" i="19"/>
  <c r="I34" i="19" s="1"/>
  <c r="X25" i="19" s="1"/>
  <c r="G35" i="19"/>
  <c r="H35" i="19"/>
  <c r="I35" i="19"/>
  <c r="Y25" i="19" s="1"/>
  <c r="I36" i="19"/>
  <c r="G37" i="19"/>
  <c r="H37" i="19" s="1"/>
  <c r="I37" i="19" s="1"/>
  <c r="G38" i="19"/>
  <c r="H38" i="19" s="1"/>
  <c r="I38" i="19" s="1"/>
  <c r="G39" i="19"/>
  <c r="H39" i="19"/>
  <c r="I39" i="19" s="1"/>
  <c r="AQ39" i="19"/>
  <c r="AY39" i="19"/>
  <c r="AT39" i="19" s="1"/>
  <c r="AZ39" i="19"/>
  <c r="AU39" i="19" s="1"/>
  <c r="G40" i="19"/>
  <c r="H40" i="19"/>
  <c r="I40" i="19"/>
  <c r="AQ40" i="19"/>
  <c r="AU40" i="19"/>
  <c r="AY40" i="19"/>
  <c r="AZ40" i="19"/>
  <c r="G41" i="19"/>
  <c r="H41" i="19"/>
  <c r="I41" i="19" s="1"/>
  <c r="AQ41" i="19"/>
  <c r="AY41" i="19"/>
  <c r="AT41" i="19" s="1"/>
  <c r="AZ41" i="19"/>
  <c r="AU41" i="19" s="1"/>
  <c r="G42" i="19"/>
  <c r="H42" i="19"/>
  <c r="I42" i="19"/>
  <c r="AQ42" i="19"/>
  <c r="AT42" i="19"/>
  <c r="AU42" i="19"/>
  <c r="AY42" i="19"/>
  <c r="AZ42" i="19"/>
  <c r="G43" i="19"/>
  <c r="H43" i="19"/>
  <c r="I43" i="19" s="1"/>
  <c r="AQ43" i="19"/>
  <c r="AT43" i="19"/>
  <c r="AY43" i="19"/>
  <c r="AZ43" i="19"/>
  <c r="AU43" i="19" s="1"/>
  <c r="G44" i="19"/>
  <c r="H44" i="19"/>
  <c r="I44" i="19"/>
  <c r="AD25" i="19" s="1"/>
  <c r="AQ44" i="19"/>
  <c r="AT44" i="19"/>
  <c r="AU44" i="19"/>
  <c r="AY44" i="19"/>
  <c r="AZ44" i="19"/>
  <c r="G45" i="19"/>
  <c r="H45" i="19"/>
  <c r="I45" i="19" s="1"/>
  <c r="AQ45" i="19"/>
  <c r="AT45" i="19"/>
  <c r="AU45" i="19"/>
  <c r="AY45" i="19"/>
  <c r="AZ45" i="19"/>
  <c r="G46" i="19"/>
  <c r="H46" i="19"/>
  <c r="I46" i="19"/>
  <c r="AQ46" i="19"/>
  <c r="AT46" i="19"/>
  <c r="AU46" i="19"/>
  <c r="AY46" i="19"/>
  <c r="AZ46" i="19"/>
  <c r="G47" i="19"/>
  <c r="H47" i="19"/>
  <c r="I47" i="19" s="1"/>
  <c r="AQ47" i="19"/>
  <c r="AY47" i="19"/>
  <c r="AT47" i="19" s="1"/>
  <c r="AZ47" i="19"/>
  <c r="AU47" i="19" s="1"/>
  <c r="G48" i="19"/>
  <c r="H48" i="19"/>
  <c r="I48" i="19"/>
  <c r="AQ48" i="19"/>
  <c r="AT48" i="19"/>
  <c r="AU48" i="19"/>
  <c r="AY48" i="19"/>
  <c r="AZ48" i="19"/>
  <c r="F49" i="19"/>
  <c r="AQ49" i="19"/>
  <c r="AT49" i="19"/>
  <c r="AU49" i="19"/>
  <c r="AY49" i="19"/>
  <c r="AZ49" i="19"/>
  <c r="AQ50" i="19"/>
  <c r="AT50" i="19"/>
  <c r="AU50" i="19"/>
  <c r="AY50" i="19"/>
  <c r="AZ50" i="19"/>
  <c r="AQ51" i="19"/>
  <c r="AY51" i="19"/>
  <c r="AT51" i="19" s="1"/>
  <c r="AZ51" i="19"/>
  <c r="AU51" i="19" s="1"/>
  <c r="AQ52" i="19"/>
  <c r="AT52" i="19"/>
  <c r="AU52" i="19"/>
  <c r="AY52" i="19"/>
  <c r="AZ52" i="19"/>
  <c r="AQ53" i="19"/>
  <c r="AT53" i="19"/>
  <c r="AU53" i="19"/>
  <c r="AY53" i="19"/>
  <c r="AZ53" i="19"/>
  <c r="AQ54" i="19"/>
  <c r="AU54" i="19"/>
  <c r="AY54" i="19"/>
  <c r="AT54" i="19" s="1"/>
  <c r="AZ54" i="19"/>
  <c r="AY39" i="18"/>
  <c r="AY44" i="18" s="1"/>
  <c r="AZ39" i="18"/>
  <c r="AY40" i="18"/>
  <c r="AZ40" i="18" s="1"/>
  <c r="AY41" i="18"/>
  <c r="AZ41" i="18" s="1"/>
  <c r="AY42" i="18"/>
  <c r="AY43" i="18"/>
  <c r="AT44" i="18"/>
  <c r="AU44" i="18"/>
  <c r="AV44" i="18"/>
  <c r="AW44" i="18"/>
  <c r="AX44" i="18"/>
  <c r="AY48" i="18"/>
  <c r="BW61" i="18"/>
  <c r="BX61" i="18" s="1"/>
  <c r="BW62" i="18"/>
  <c r="BW63" i="18"/>
  <c r="BW64" i="18"/>
  <c r="BW65" i="18"/>
  <c r="BQ66" i="18"/>
  <c r="BR66" i="18"/>
  <c r="BS66" i="18"/>
  <c r="BT66" i="18"/>
  <c r="BU66" i="18"/>
  <c r="BU67" i="18" s="1"/>
  <c r="BW66" i="18"/>
  <c r="BQ67" i="18"/>
  <c r="BT67" i="18"/>
  <c r="CN82" i="18"/>
  <c r="CO82" i="18"/>
  <c r="CP82" i="18"/>
  <c r="CQ82" i="18"/>
  <c r="CR82" i="18"/>
  <c r="CS82" i="18"/>
  <c r="CT82" i="18"/>
  <c r="CN83" i="18"/>
  <c r="CO83" i="18"/>
  <c r="CP83" i="18"/>
  <c r="CQ83" i="18"/>
  <c r="CR83" i="18"/>
  <c r="CS83" i="18"/>
  <c r="CS87" i="18" s="1"/>
  <c r="CT83" i="18"/>
  <c r="CT87" i="18" s="1"/>
  <c r="CU83" i="18"/>
  <c r="CN84" i="18"/>
  <c r="CN87" i="18" s="1"/>
  <c r="CO84" i="18"/>
  <c r="CP84" i="18"/>
  <c r="CQ84" i="18"/>
  <c r="CR84" i="18"/>
  <c r="CS84" i="18"/>
  <c r="CT84" i="18"/>
  <c r="CN85" i="18"/>
  <c r="CO85" i="18"/>
  <c r="CP85" i="18"/>
  <c r="CQ85" i="18"/>
  <c r="CR85" i="18"/>
  <c r="CS85" i="18"/>
  <c r="CT85" i="18"/>
  <c r="CU85" i="18"/>
  <c r="CN86" i="18"/>
  <c r="CO86" i="18"/>
  <c r="CP86" i="18"/>
  <c r="CQ86" i="18"/>
  <c r="CR86" i="18"/>
  <c r="CS86" i="18"/>
  <c r="CT86" i="18"/>
  <c r="CQ87" i="18"/>
  <c r="DM95" i="18"/>
  <c r="DM96" i="18"/>
  <c r="DM97" i="18"/>
  <c r="DM98" i="18"/>
  <c r="DM99" i="18"/>
  <c r="DG100" i="18"/>
  <c r="DH100" i="18"/>
  <c r="DI100" i="18"/>
  <c r="DJ100" i="18"/>
  <c r="DK100" i="18"/>
  <c r="DL100" i="18"/>
  <c r="DM104" i="18"/>
  <c r="I10" i="17"/>
  <c r="K10" i="17"/>
  <c r="M10" i="17"/>
  <c r="O10" i="17"/>
  <c r="Q10" i="17"/>
  <c r="S10" i="17"/>
  <c r="U10" i="17"/>
  <c r="I11" i="17"/>
  <c r="K11" i="17"/>
  <c r="M11" i="17"/>
  <c r="O11" i="17"/>
  <c r="Q11" i="17"/>
  <c r="S11" i="17"/>
  <c r="U11" i="17"/>
  <c r="I12" i="17"/>
  <c r="K12" i="17"/>
  <c r="M12" i="17"/>
  <c r="O12" i="17"/>
  <c r="Q12" i="17"/>
  <c r="S12" i="17"/>
  <c r="U12" i="17"/>
  <c r="I13" i="17"/>
  <c r="K13" i="17"/>
  <c r="M13" i="17"/>
  <c r="O13" i="17"/>
  <c r="Q13" i="17"/>
  <c r="S13" i="17"/>
  <c r="U13" i="17"/>
  <c r="I14" i="17"/>
  <c r="K14" i="17"/>
  <c r="M14" i="17"/>
  <c r="O14" i="17"/>
  <c r="Q14" i="17"/>
  <c r="S14" i="17"/>
  <c r="U14" i="17"/>
  <c r="AB10" i="17"/>
  <c r="AB11" i="17"/>
  <c r="AB12" i="17"/>
  <c r="AB13" i="17"/>
  <c r="AC13" i="17"/>
  <c r="AJ54" i="17"/>
  <c r="AJ55" i="17"/>
  <c r="AJ53" i="17" s="1"/>
  <c r="AK55" i="17"/>
  <c r="AX56" i="17" a="1"/>
  <c r="AX56" i="17" s="1"/>
  <c r="AW57" i="17" a="1"/>
  <c r="AW63" i="17" s="1"/>
  <c r="BL59" i="17" a="1"/>
  <c r="BL59" i="17" s="1"/>
  <c r="BB67" i="17"/>
  <c r="BB68" i="17"/>
  <c r="BB69" i="17"/>
  <c r="BB70" i="17"/>
  <c r="BB71" i="17"/>
  <c r="CA77" i="17"/>
  <c r="CA78" i="17"/>
  <c r="CA79" i="17"/>
  <c r="CA80" i="17"/>
  <c r="CA81" i="17"/>
  <c r="BT82" i="17"/>
  <c r="BU82" i="17"/>
  <c r="CA91" i="17" s="1"/>
  <c r="BV82" i="17"/>
  <c r="BV83" i="17" s="1"/>
  <c r="BW82" i="17"/>
  <c r="BW83" i="17" s="1"/>
  <c r="BX82" i="17"/>
  <c r="BX83" i="17" s="1"/>
  <c r="BY82" i="17"/>
  <c r="BY83" i="17" s="1"/>
  <c r="BZ82" i="17"/>
  <c r="BZ83" i="17" s="1"/>
  <c r="CA82" i="17"/>
  <c r="BT83" i="17"/>
  <c r="BU83" i="17"/>
  <c r="M7" i="16"/>
  <c r="M8" i="16"/>
  <c r="M25" i="16" s="1"/>
  <c r="M9" i="16"/>
  <c r="N9" i="16" s="1"/>
  <c r="O9" i="16" s="1"/>
  <c r="P9" i="16" s="1"/>
  <c r="M10" i="16"/>
  <c r="M11" i="16"/>
  <c r="M12" i="16"/>
  <c r="N12" i="16" s="1"/>
  <c r="O12" i="16" s="1"/>
  <c r="P12" i="16" s="1"/>
  <c r="M13" i="16"/>
  <c r="M14" i="16"/>
  <c r="N14" i="16" s="1"/>
  <c r="O14" i="16" s="1"/>
  <c r="P14" i="16" s="1"/>
  <c r="M15" i="16"/>
  <c r="M16" i="16"/>
  <c r="M17" i="16"/>
  <c r="M18" i="16"/>
  <c r="M19" i="16"/>
  <c r="M20" i="16"/>
  <c r="M21" i="16"/>
  <c r="M22" i="16"/>
  <c r="M23" i="16"/>
  <c r="V8" i="15"/>
  <c r="V9" i="15"/>
  <c r="M25" i="15"/>
  <c r="N7" i="15" s="1"/>
  <c r="P7" i="15" s="1"/>
  <c r="K27" i="15"/>
  <c r="K29" i="15"/>
  <c r="K31" i="15"/>
  <c r="E32" i="15"/>
  <c r="K30" i="15" s="1"/>
  <c r="E33" i="15"/>
  <c r="H41" i="15"/>
  <c r="O7" i="14"/>
  <c r="Q7" i="14" s="1"/>
  <c r="O8" i="14"/>
  <c r="Q8" i="14" s="1"/>
  <c r="O9" i="14"/>
  <c r="Q9" i="14"/>
  <c r="O10" i="14"/>
  <c r="Q10" i="14" s="1"/>
  <c r="O11" i="14"/>
  <c r="Q11" i="14"/>
  <c r="O12" i="14"/>
  <c r="Q12" i="14"/>
  <c r="O13" i="14"/>
  <c r="Q13" i="14"/>
  <c r="O14" i="14"/>
  <c r="Q14" i="14"/>
  <c r="O15" i="14"/>
  <c r="Q15" i="14" s="1"/>
  <c r="O16" i="14"/>
  <c r="Q16" i="14" s="1"/>
  <c r="O17" i="14"/>
  <c r="Q17" i="14"/>
  <c r="O18" i="14"/>
  <c r="Q18" i="14"/>
  <c r="O19" i="14"/>
  <c r="Q19" i="14" s="1"/>
  <c r="O20" i="14"/>
  <c r="Q20" i="14" s="1"/>
  <c r="O21" i="14"/>
  <c r="Q21" i="14"/>
  <c r="O22" i="14"/>
  <c r="Q22" i="14"/>
  <c r="O23" i="14"/>
  <c r="Q23" i="14"/>
  <c r="M25" i="14"/>
  <c r="N7" i="14" s="1"/>
  <c r="K30" i="14"/>
  <c r="F31" i="14"/>
  <c r="G31" i="14"/>
  <c r="H31" i="14"/>
  <c r="I31" i="14"/>
  <c r="J31" i="14"/>
  <c r="Q33" i="14"/>
  <c r="Q34" i="14" s="1"/>
  <c r="Q35" i="14" s="1"/>
  <c r="Y35" i="14"/>
  <c r="Z35" i="14"/>
  <c r="AA35" i="14"/>
  <c r="AB35" i="14"/>
  <c r="AC35" i="14"/>
  <c r="T40" i="14"/>
  <c r="T42" i="14"/>
  <c r="AG7" i="14"/>
  <c r="AG8" i="14"/>
  <c r="AG9" i="14"/>
  <c r="AI49" i="14"/>
  <c r="AJ49" i="14"/>
  <c r="AI50" i="14"/>
  <c r="AJ50" i="14"/>
  <c r="AI51" i="14"/>
  <c r="AJ51" i="14"/>
  <c r="AI52" i="14"/>
  <c r="AJ52" i="14"/>
  <c r="AI53" i="14"/>
  <c r="AJ53" i="14"/>
  <c r="AI54" i="14"/>
  <c r="AJ54" i="14"/>
  <c r="AI55" i="14"/>
  <c r="AJ55" i="14"/>
  <c r="AI56" i="14"/>
  <c r="AJ56" i="14"/>
  <c r="AI57" i="14"/>
  <c r="AJ57" i="14"/>
  <c r="AI58" i="14"/>
  <c r="AJ58" i="14"/>
  <c r="AI59" i="14"/>
  <c r="AJ59" i="14"/>
  <c r="AI60" i="14"/>
  <c r="AJ60" i="14"/>
  <c r="AI61" i="14"/>
  <c r="AJ61" i="14"/>
  <c r="AI62" i="14"/>
  <c r="AJ62" i="14"/>
  <c r="AI63" i="14"/>
  <c r="AJ63" i="14"/>
  <c r="AI64" i="14"/>
  <c r="AJ64" i="14"/>
  <c r="AI65" i="14"/>
  <c r="AJ65" i="14"/>
  <c r="AG66" i="14"/>
  <c r="AH66" i="14"/>
  <c r="N7" i="13"/>
  <c r="N8" i="13"/>
  <c r="O8" i="13"/>
  <c r="P8" i="13" s="1"/>
  <c r="N9" i="13"/>
  <c r="O9" i="13"/>
  <c r="P9" i="13" s="1"/>
  <c r="N10" i="13"/>
  <c r="O10" i="13"/>
  <c r="P10" i="13" s="1"/>
  <c r="M11" i="13"/>
  <c r="N11" i="13" s="1"/>
  <c r="O11" i="13"/>
  <c r="P11" i="13" s="1"/>
  <c r="M12" i="13"/>
  <c r="N12" i="13" s="1"/>
  <c r="O12" i="13"/>
  <c r="P12" i="13" s="1"/>
  <c r="M13" i="13"/>
  <c r="O13" i="13"/>
  <c r="P13" i="13"/>
  <c r="N14" i="13"/>
  <c r="N15" i="13"/>
  <c r="N16" i="13"/>
  <c r="N17" i="13"/>
  <c r="N18" i="13"/>
  <c r="O18" i="13"/>
  <c r="P18" i="13"/>
  <c r="N19" i="13"/>
  <c r="N20" i="13"/>
  <c r="M21" i="13"/>
  <c r="O21" i="13"/>
  <c r="P21" i="13" s="1"/>
  <c r="M22" i="13"/>
  <c r="O22" i="13"/>
  <c r="P22" i="13" s="1"/>
  <c r="M23" i="13"/>
  <c r="O23" i="13"/>
  <c r="P23" i="13" s="1"/>
  <c r="R25" i="13"/>
  <c r="S25" i="13" s="1"/>
  <c r="N43" i="13"/>
  <c r="O7" i="13" s="1"/>
  <c r="P7" i="13" s="1"/>
  <c r="N45" i="13"/>
  <c r="O15" i="13" s="1"/>
  <c r="P15" i="13" s="1"/>
  <c r="N46" i="13"/>
  <c r="O20" i="13" s="1"/>
  <c r="P20" i="13" s="1"/>
  <c r="I48" i="13"/>
  <c r="O48" i="13"/>
  <c r="P46" i="13" s="1"/>
  <c r="O43" i="13" s="1"/>
  <c r="T50" i="13"/>
  <c r="G51" i="13"/>
  <c r="H54" i="13"/>
  <c r="N56" i="13"/>
  <c r="H33" i="19" l="1"/>
  <c r="I33" i="19" s="1"/>
  <c r="H78" i="5"/>
  <c r="DJ11" i="23"/>
  <c r="I76" i="3"/>
  <c r="K31" i="14"/>
  <c r="H58" i="4"/>
  <c r="L9" i="4"/>
  <c r="G21" i="4"/>
  <c r="L6" i="4"/>
  <c r="G42" i="4"/>
  <c r="L8" i="4"/>
  <c r="G5" i="4"/>
  <c r="L5" i="4"/>
  <c r="G34" i="4"/>
  <c r="L7" i="4"/>
  <c r="X47" i="21"/>
  <c r="W47" i="21"/>
  <c r="Y23" i="21" s="1"/>
  <c r="AY13" i="21"/>
  <c r="X43" i="21"/>
  <c r="W43" i="21"/>
  <c r="Y9" i="21" s="1"/>
  <c r="S47" i="21"/>
  <c r="AJ12" i="21" s="1"/>
  <c r="T47" i="21"/>
  <c r="AK12" i="21" s="1"/>
  <c r="AZ13" i="21"/>
  <c r="BA13" i="21"/>
  <c r="V47" i="21"/>
  <c r="AM12" i="21" s="1"/>
  <c r="F30" i="21"/>
  <c r="M19" i="21" s="1"/>
  <c r="O19" i="21" s="1"/>
  <c r="N19" i="21" s="1"/>
  <c r="O7" i="20"/>
  <c r="P7" i="20"/>
  <c r="V7" i="20" s="1"/>
  <c r="G7" i="6"/>
  <c r="G5" i="6"/>
  <c r="G6" i="6"/>
  <c r="AD13" i="17"/>
  <c r="AX58" i="17" s="1"/>
  <c r="AB14" i="17"/>
  <c r="BB72" i="17"/>
  <c r="J36" i="20"/>
  <c r="AT10" i="20" s="1"/>
  <c r="I36" i="20"/>
  <c r="AS10" i="20" s="1"/>
  <c r="G36" i="20"/>
  <c r="AQ10" i="20" s="1"/>
  <c r="AQ12" i="20" s="1"/>
  <c r="AU7" i="20"/>
  <c r="AU10" i="20"/>
  <c r="AU9" i="20"/>
  <c r="N21" i="20"/>
  <c r="N16" i="20"/>
  <c r="AR12" i="20"/>
  <c r="N11" i="20"/>
  <c r="AQ13" i="20"/>
  <c r="AT12" i="20"/>
  <c r="AR13" i="20"/>
  <c r="O19" i="13"/>
  <c r="P19" i="13" s="1"/>
  <c r="P47" i="13"/>
  <c r="O44" i="13" s="1"/>
  <c r="U22" i="13" s="1"/>
  <c r="U18" i="13"/>
  <c r="U23" i="13"/>
  <c r="O16" i="13"/>
  <c r="P16" i="13" s="1"/>
  <c r="O14" i="13"/>
  <c r="P14" i="13" s="1"/>
  <c r="G60" i="4"/>
  <c r="I40" i="5"/>
  <c r="G40" i="4"/>
  <c r="G59" i="4"/>
  <c r="H74" i="4"/>
  <c r="G53" i="4"/>
  <c r="H35" i="4"/>
  <c r="H15" i="4"/>
  <c r="G75" i="4"/>
  <c r="G18" i="4"/>
  <c r="G12" i="4"/>
  <c r="G69" i="4"/>
  <c r="G46" i="4"/>
  <c r="G30" i="4"/>
  <c r="H16" i="4"/>
  <c r="N12" i="15"/>
  <c r="P12" i="15" s="1"/>
  <c r="N8" i="15"/>
  <c r="N21" i="15"/>
  <c r="P21" i="15" s="1"/>
  <c r="Q12" i="15"/>
  <c r="R12" i="15"/>
  <c r="N9" i="15"/>
  <c r="O9" i="15" s="1"/>
  <c r="N19" i="15"/>
  <c r="Q19" i="15" s="1"/>
  <c r="R8" i="15"/>
  <c r="Q8" i="15"/>
  <c r="R9" i="15"/>
  <c r="N16" i="15"/>
  <c r="Q9" i="15"/>
  <c r="P9" i="15"/>
  <c r="N22" i="15"/>
  <c r="N15" i="15"/>
  <c r="R15" i="15" s="1"/>
  <c r="N13" i="15"/>
  <c r="O13" i="15" s="1"/>
  <c r="AE13" i="17"/>
  <c r="AY58" i="17" s="1"/>
  <c r="N23" i="15"/>
  <c r="O23" i="15" s="1"/>
  <c r="N18" i="15"/>
  <c r="N11" i="15"/>
  <c r="R6" i="5"/>
  <c r="R7" i="5"/>
  <c r="R8" i="5"/>
  <c r="R10" i="5"/>
  <c r="R9" i="5"/>
  <c r="H72" i="4"/>
  <c r="H7" i="4"/>
  <c r="H20" i="4"/>
  <c r="G56" i="4"/>
  <c r="H36" i="4"/>
  <c r="H34" i="4"/>
  <c r="G10" i="4"/>
  <c r="G29" i="4"/>
  <c r="G28" i="4"/>
  <c r="G49" i="4"/>
  <c r="G27" i="4"/>
  <c r="H65" i="4"/>
  <c r="H66" i="4"/>
  <c r="G48" i="4"/>
  <c r="G16" i="4"/>
  <c r="H45" i="4"/>
  <c r="G44" i="4"/>
  <c r="H50" i="4"/>
  <c r="H42" i="4"/>
  <c r="G25" i="4"/>
  <c r="G13" i="4"/>
  <c r="G17" i="4"/>
  <c r="G6" i="4"/>
  <c r="G41" i="4"/>
  <c r="H64" i="4"/>
  <c r="H32" i="4"/>
  <c r="H52" i="4"/>
  <c r="H31" i="4"/>
  <c r="G24" i="4"/>
  <c r="G55" i="4"/>
  <c r="G26" i="4"/>
  <c r="H63" i="4"/>
  <c r="H73" i="4"/>
  <c r="H37" i="4"/>
  <c r="H51" i="4"/>
  <c r="H47" i="4"/>
  <c r="H21" i="4"/>
  <c r="G57" i="4"/>
  <c r="G9" i="4"/>
  <c r="H62" i="4"/>
  <c r="H43" i="4"/>
  <c r="H70" i="4"/>
  <c r="H39" i="4"/>
  <c r="G54" i="4"/>
  <c r="H46" i="4"/>
  <c r="H38" i="4"/>
  <c r="G23" i="4"/>
  <c r="G19" i="4"/>
  <c r="G8" i="4"/>
  <c r="G22" i="4"/>
  <c r="G58" i="4"/>
  <c r="G14" i="4"/>
  <c r="H30" i="4"/>
  <c r="H61" i="4"/>
  <c r="H5" i="4"/>
  <c r="H33" i="4"/>
  <c r="H68" i="4"/>
  <c r="H11" i="4"/>
  <c r="F76" i="4"/>
  <c r="G71" i="4"/>
  <c r="AI66" i="14"/>
  <c r="O27" i="14"/>
  <c r="AJ66" i="14"/>
  <c r="J13" i="3"/>
  <c r="K13" i="3" s="1"/>
  <c r="L13" i="3" s="1"/>
  <c r="M13" i="3" s="1"/>
  <c r="J39" i="3"/>
  <c r="K39" i="3" s="1"/>
  <c r="L39" i="3" s="1"/>
  <c r="M39" i="3" s="1"/>
  <c r="O21" i="22"/>
  <c r="P21" i="22" s="1"/>
  <c r="O13" i="22"/>
  <c r="P13" i="22" s="1"/>
  <c r="Q13" i="22" s="1"/>
  <c r="R13" i="22" s="1"/>
  <c r="P13" i="18" s="1"/>
  <c r="X13" i="18" s="1"/>
  <c r="AF13" i="18" s="1"/>
  <c r="O15" i="22"/>
  <c r="P15" i="22" s="1"/>
  <c r="Q15" i="22" s="1"/>
  <c r="R15" i="22" s="1"/>
  <c r="P15" i="18" s="1"/>
  <c r="X15" i="18" s="1"/>
  <c r="AF15" i="18" s="1"/>
  <c r="O12" i="22"/>
  <c r="P12" i="22" s="1"/>
  <c r="Q12" i="22" s="1"/>
  <c r="R12" i="22" s="1"/>
  <c r="P12" i="18" s="1"/>
  <c r="X12" i="18" s="1"/>
  <c r="AF12" i="18" s="1"/>
  <c r="O11" i="22"/>
  <c r="P11" i="22" s="1"/>
  <c r="O20" i="22"/>
  <c r="P20" i="22" s="1"/>
  <c r="Q20" i="22" s="1"/>
  <c r="R20" i="22" s="1"/>
  <c r="P20" i="18" s="1"/>
  <c r="X20" i="18" s="1"/>
  <c r="AF20" i="18" s="1"/>
  <c r="O23" i="22"/>
  <c r="P23" i="22" s="1"/>
  <c r="Q23" i="22" s="1"/>
  <c r="R23" i="22" s="1"/>
  <c r="P23" i="18" s="1"/>
  <c r="X23" i="18" s="1"/>
  <c r="AF23" i="18" s="1"/>
  <c r="O10" i="22"/>
  <c r="P10" i="22" s="1"/>
  <c r="Q10" i="22" s="1"/>
  <c r="R10" i="22" s="1"/>
  <c r="P10" i="18" s="1"/>
  <c r="X10" i="18" s="1"/>
  <c r="AF10" i="18" s="1"/>
  <c r="O14" i="22"/>
  <c r="P14" i="22" s="1"/>
  <c r="O18" i="22"/>
  <c r="P18" i="22" s="1"/>
  <c r="O22" i="22"/>
  <c r="P22" i="22" s="1"/>
  <c r="Q22" i="22" s="1"/>
  <c r="R22" i="22" s="1"/>
  <c r="P22" i="18" s="1"/>
  <c r="X22" i="18" s="1"/>
  <c r="AF22" i="18" s="1"/>
  <c r="O19" i="22"/>
  <c r="P19" i="22" s="1"/>
  <c r="Q19" i="22" s="1"/>
  <c r="R19" i="22" s="1"/>
  <c r="P19" i="18" s="1"/>
  <c r="X19" i="18" s="1"/>
  <c r="AF19" i="18" s="1"/>
  <c r="O8" i="22"/>
  <c r="P8" i="22" s="1"/>
  <c r="Q8" i="22" s="1"/>
  <c r="R8" i="22" s="1"/>
  <c r="P8" i="18" s="1"/>
  <c r="X8" i="18" s="1"/>
  <c r="AF8" i="18" s="1"/>
  <c r="O7" i="22"/>
  <c r="P7" i="22" s="1"/>
  <c r="O16" i="22"/>
  <c r="P16" i="22" s="1"/>
  <c r="Q16" i="22" s="1"/>
  <c r="R16" i="22" s="1"/>
  <c r="P16" i="18" s="1"/>
  <c r="X16" i="18" s="1"/>
  <c r="AF16" i="18" s="1"/>
  <c r="O9" i="22"/>
  <c r="P9" i="22" s="1"/>
  <c r="Q9" i="22" s="1"/>
  <c r="R9" i="22" s="1"/>
  <c r="P9" i="18" s="1"/>
  <c r="X9" i="18" s="1"/>
  <c r="AF9" i="18" s="1"/>
  <c r="Y20" i="21"/>
  <c r="AN11" i="21"/>
  <c r="Y19" i="21"/>
  <c r="Y18" i="21"/>
  <c r="S44" i="21"/>
  <c r="T44" i="21"/>
  <c r="U49" i="21"/>
  <c r="V25" i="21" s="1"/>
  <c r="W45" i="21"/>
  <c r="X45" i="21"/>
  <c r="M22" i="21"/>
  <c r="O22" i="21" s="1"/>
  <c r="M23" i="21"/>
  <c r="O23" i="21" s="1"/>
  <c r="M21" i="21"/>
  <c r="O21" i="21" s="1"/>
  <c r="Z23" i="21"/>
  <c r="AO12" i="21"/>
  <c r="Z22" i="21"/>
  <c r="Z21" i="21"/>
  <c r="S45" i="21"/>
  <c r="AJ10" i="21" s="1"/>
  <c r="T45" i="21"/>
  <c r="AK10" i="21" s="1"/>
  <c r="Q49" i="21"/>
  <c r="AI8" i="21"/>
  <c r="W44" i="21"/>
  <c r="X44" i="21"/>
  <c r="Z10" i="21"/>
  <c r="Z9" i="21"/>
  <c r="Z8" i="21"/>
  <c r="Z7" i="21"/>
  <c r="AO8" i="21"/>
  <c r="F29" i="21"/>
  <c r="AN8" i="21"/>
  <c r="Y10" i="21"/>
  <c r="AL8" i="21"/>
  <c r="AL13" i="21" s="1"/>
  <c r="F27" i="21"/>
  <c r="AM8" i="21"/>
  <c r="F28" i="21"/>
  <c r="V45" i="21"/>
  <c r="AM10" i="21" s="1"/>
  <c r="Y7" i="21"/>
  <c r="M20" i="21"/>
  <c r="O20" i="21" s="1"/>
  <c r="V44" i="21"/>
  <c r="AM9" i="21" s="1"/>
  <c r="Y21" i="21"/>
  <c r="X46" i="21"/>
  <c r="Y22" i="21"/>
  <c r="AN12" i="21"/>
  <c r="T46" i="21"/>
  <c r="AK11" i="21" s="1"/>
  <c r="AS12" i="20"/>
  <c r="AT13" i="20"/>
  <c r="AS13" i="20"/>
  <c r="N20" i="20"/>
  <c r="N15" i="20"/>
  <c r="N10" i="20"/>
  <c r="AP13" i="20"/>
  <c r="AU8" i="20"/>
  <c r="N23" i="20"/>
  <c r="N18" i="20"/>
  <c r="N13" i="20"/>
  <c r="N8" i="20"/>
  <c r="N9" i="20"/>
  <c r="N19" i="20"/>
  <c r="N14" i="20"/>
  <c r="N22" i="20"/>
  <c r="N17" i="20"/>
  <c r="N12" i="20"/>
  <c r="AU55" i="19"/>
  <c r="AW39" i="19"/>
  <c r="AT55" i="19"/>
  <c r="AV47" i="19" s="1"/>
  <c r="AW41" i="19"/>
  <c r="AW49" i="19"/>
  <c r="AV41" i="19"/>
  <c r="N7" i="19"/>
  <c r="O7" i="19" s="1"/>
  <c r="N12" i="19"/>
  <c r="O12" i="19" s="1"/>
  <c r="N17" i="19"/>
  <c r="O17" i="19" s="1"/>
  <c r="N22" i="19"/>
  <c r="O22" i="19" s="1"/>
  <c r="N18" i="19"/>
  <c r="O18" i="19" s="1"/>
  <c r="N8" i="19"/>
  <c r="O8" i="19" s="1"/>
  <c r="N23" i="19"/>
  <c r="O23" i="19" s="1"/>
  <c r="N13" i="19"/>
  <c r="O13" i="19" s="1"/>
  <c r="N9" i="19"/>
  <c r="O9" i="19" s="1"/>
  <c r="N14" i="19"/>
  <c r="O14" i="19" s="1"/>
  <c r="AV48" i="19"/>
  <c r="H49" i="19"/>
  <c r="N19" i="19"/>
  <c r="O19" i="19" s="1"/>
  <c r="N10" i="19"/>
  <c r="O10" i="19" s="1"/>
  <c r="AW48" i="19"/>
  <c r="I49" i="19"/>
  <c r="N20" i="19"/>
  <c r="O20" i="19" s="1"/>
  <c r="N15" i="19"/>
  <c r="O15" i="19" s="1"/>
  <c r="AV42" i="19"/>
  <c r="AW53" i="19"/>
  <c r="AW42" i="19"/>
  <c r="BX63" i="18"/>
  <c r="BY65" i="18" s="1"/>
  <c r="BX65" i="18"/>
  <c r="AU45" i="18"/>
  <c r="BX62" i="18"/>
  <c r="AT45" i="18"/>
  <c r="CU84" i="18"/>
  <c r="AZ42" i="18"/>
  <c r="CU82" i="18"/>
  <c r="BS67" i="18"/>
  <c r="AV45" i="18"/>
  <c r="AZ43" i="18"/>
  <c r="BR67" i="18"/>
  <c r="BW69" i="18" s="1"/>
  <c r="DK101" i="18"/>
  <c r="CU86" i="18"/>
  <c r="CR87" i="18"/>
  <c r="AX45" i="18"/>
  <c r="AW45" i="18"/>
  <c r="DH101" i="18"/>
  <c r="CP87" i="18"/>
  <c r="CO87" i="18"/>
  <c r="CU87" i="18" s="1"/>
  <c r="BX64" i="18"/>
  <c r="DM100" i="18"/>
  <c r="BC67" i="17"/>
  <c r="BL64" i="17"/>
  <c r="BC71" i="17" s="1"/>
  <c r="AW58" i="17"/>
  <c r="BL65" i="17"/>
  <c r="BC72" i="17" s="1"/>
  <c r="BL62" i="17"/>
  <c r="BC69" i="17" s="1"/>
  <c r="AW59" i="17"/>
  <c r="BL63" i="17"/>
  <c r="BC70" i="17" s="1"/>
  <c r="AW57" i="17"/>
  <c r="AW62" i="17"/>
  <c r="BL61" i="17"/>
  <c r="BC68" i="17" s="1"/>
  <c r="AW61" i="17"/>
  <c r="BL60" i="17"/>
  <c r="AW60" i="17"/>
  <c r="AY56" i="17"/>
  <c r="R14" i="16"/>
  <c r="Q14" i="16"/>
  <c r="T14" i="16" s="1"/>
  <c r="Q14" i="18" s="1"/>
  <c r="Y14" i="18" s="1"/>
  <c r="AG14" i="18" s="1"/>
  <c r="S14" i="16"/>
  <c r="R12" i="16"/>
  <c r="S12" i="16"/>
  <c r="Q12" i="16"/>
  <c r="T12" i="16" s="1"/>
  <c r="Q12" i="18" s="1"/>
  <c r="Y12" i="18" s="1"/>
  <c r="AG12" i="18" s="1"/>
  <c r="R9" i="16"/>
  <c r="S9" i="16"/>
  <c r="Q9" i="16"/>
  <c r="T9" i="16" s="1"/>
  <c r="Q9" i="18" s="1"/>
  <c r="Y9" i="18" s="1"/>
  <c r="AG9" i="18" s="1"/>
  <c r="N7" i="16"/>
  <c r="N22" i="16"/>
  <c r="O22" i="16" s="1"/>
  <c r="P22" i="16" s="1"/>
  <c r="N19" i="16"/>
  <c r="O19" i="16" s="1"/>
  <c r="P19" i="16" s="1"/>
  <c r="N20" i="16"/>
  <c r="O20" i="16" s="1"/>
  <c r="P20" i="16" s="1"/>
  <c r="N15" i="16"/>
  <c r="O15" i="16" s="1"/>
  <c r="P15" i="16" s="1"/>
  <c r="N23" i="16"/>
  <c r="O23" i="16" s="1"/>
  <c r="P23" i="16" s="1"/>
  <c r="N11" i="16"/>
  <c r="O11" i="16" s="1"/>
  <c r="P11" i="16" s="1"/>
  <c r="N16" i="16"/>
  <c r="O16" i="16" s="1"/>
  <c r="P16" i="16" s="1"/>
  <c r="N21" i="16"/>
  <c r="O21" i="16" s="1"/>
  <c r="P21" i="16" s="1"/>
  <c r="N10" i="16"/>
  <c r="O10" i="16" s="1"/>
  <c r="P10" i="16" s="1"/>
  <c r="N8" i="16"/>
  <c r="O8" i="16" s="1"/>
  <c r="P8" i="16" s="1"/>
  <c r="N13" i="16"/>
  <c r="O13" i="16" s="1"/>
  <c r="P13" i="16" s="1"/>
  <c r="N18" i="16"/>
  <c r="O18" i="16" s="1"/>
  <c r="P18" i="16" s="1"/>
  <c r="N17" i="16"/>
  <c r="O17" i="16" s="1"/>
  <c r="P17" i="16" s="1"/>
  <c r="O7" i="15"/>
  <c r="Q7" i="15"/>
  <c r="R7" i="15"/>
  <c r="I35" i="15"/>
  <c r="I37" i="15"/>
  <c r="I38" i="15"/>
  <c r="I36" i="15"/>
  <c r="I39" i="15"/>
  <c r="N14" i="15"/>
  <c r="N17" i="15"/>
  <c r="N20" i="15"/>
  <c r="N10" i="15"/>
  <c r="Q27" i="14"/>
  <c r="R8" i="14" s="1"/>
  <c r="R9" i="14"/>
  <c r="R20" i="14"/>
  <c r="T31" i="14"/>
  <c r="R14" i="14"/>
  <c r="R15" i="14"/>
  <c r="R10" i="14"/>
  <c r="U17" i="13"/>
  <c r="U9" i="13"/>
  <c r="U7" i="13"/>
  <c r="U20" i="13"/>
  <c r="U15" i="13"/>
  <c r="U14" i="13"/>
  <c r="J55" i="13"/>
  <c r="K55" i="13"/>
  <c r="I55" i="13"/>
  <c r="L55" i="13" s="1"/>
  <c r="U8" i="13"/>
  <c r="U16" i="13"/>
  <c r="U19" i="13"/>
  <c r="U10" i="13"/>
  <c r="N13" i="13"/>
  <c r="O17" i="13"/>
  <c r="P17" i="13" s="1"/>
  <c r="H76" i="4" l="1"/>
  <c r="G76" i="4"/>
  <c r="L10" i="4"/>
  <c r="Y8" i="21"/>
  <c r="P19" i="21"/>
  <c r="W49" i="21"/>
  <c r="M18" i="21"/>
  <c r="O18" i="21" s="1"/>
  <c r="Q7" i="20"/>
  <c r="R7" i="20"/>
  <c r="W7" i="20"/>
  <c r="S7" i="20"/>
  <c r="T7" i="20" s="1"/>
  <c r="U7" i="20"/>
  <c r="X7" i="20"/>
  <c r="I37" i="6"/>
  <c r="I36" i="6"/>
  <c r="H15" i="6"/>
  <c r="H17" i="6"/>
  <c r="H16" i="6"/>
  <c r="H18" i="6"/>
  <c r="H14" i="6"/>
  <c r="I8" i="6"/>
  <c r="I9" i="6"/>
  <c r="I10" i="6"/>
  <c r="I13" i="6"/>
  <c r="I11" i="6"/>
  <c r="I12" i="6"/>
  <c r="S9" i="15"/>
  <c r="G15" i="6"/>
  <c r="G16" i="6"/>
  <c r="G17" i="6"/>
  <c r="G18" i="6"/>
  <c r="G14" i="6"/>
  <c r="Q15" i="15"/>
  <c r="G62" i="6"/>
  <c r="G64" i="6"/>
  <c r="G58" i="6"/>
  <c r="G65" i="6"/>
  <c r="G63" i="6"/>
  <c r="G60" i="6"/>
  <c r="G59" i="6"/>
  <c r="G66" i="6"/>
  <c r="G61" i="6"/>
  <c r="I15" i="6"/>
  <c r="I17" i="6"/>
  <c r="I16" i="6"/>
  <c r="I18" i="6"/>
  <c r="I14" i="6"/>
  <c r="F7" i="6"/>
  <c r="F6" i="6"/>
  <c r="F5" i="6"/>
  <c r="F32" i="6"/>
  <c r="F31" i="6"/>
  <c r="F33" i="6"/>
  <c r="H8" i="6"/>
  <c r="H9" i="6"/>
  <c r="H10" i="6"/>
  <c r="H11" i="6"/>
  <c r="H12" i="6"/>
  <c r="H13" i="6"/>
  <c r="H48" i="6"/>
  <c r="H49" i="6"/>
  <c r="H50" i="6"/>
  <c r="H47" i="6"/>
  <c r="O21" i="15"/>
  <c r="H28" i="6"/>
  <c r="H29" i="6"/>
  <c r="H30" i="6"/>
  <c r="H25" i="6"/>
  <c r="H26" i="6"/>
  <c r="H27" i="6"/>
  <c r="H5" i="6"/>
  <c r="H6" i="6"/>
  <c r="H7" i="6"/>
  <c r="G29" i="6"/>
  <c r="G25" i="6"/>
  <c r="G27" i="6"/>
  <c r="G26" i="6"/>
  <c r="G28" i="6"/>
  <c r="G30" i="6"/>
  <c r="F18" i="6"/>
  <c r="F17" i="6"/>
  <c r="F16" i="6"/>
  <c r="F15" i="6"/>
  <c r="F14" i="6"/>
  <c r="I28" i="6"/>
  <c r="I30" i="6"/>
  <c r="I26" i="6"/>
  <c r="I25" i="6"/>
  <c r="I27" i="6"/>
  <c r="I29" i="6"/>
  <c r="I6" i="6"/>
  <c r="I5" i="6"/>
  <c r="I7" i="6"/>
  <c r="F75" i="6"/>
  <c r="F71" i="6"/>
  <c r="F74" i="6"/>
  <c r="F72" i="6"/>
  <c r="F73" i="6"/>
  <c r="P21" i="20"/>
  <c r="O21" i="20"/>
  <c r="P16" i="20"/>
  <c r="O16" i="20"/>
  <c r="G5" i="7"/>
  <c r="G6" i="7"/>
  <c r="G7" i="7"/>
  <c r="F5" i="7"/>
  <c r="F6" i="7"/>
  <c r="F7" i="7"/>
  <c r="P11" i="20"/>
  <c r="O11" i="20"/>
  <c r="P24" i="13"/>
  <c r="P25" i="13" s="1"/>
  <c r="Q21" i="13" s="1"/>
  <c r="R21" i="13" s="1"/>
  <c r="S21" i="13" s="1"/>
  <c r="V8" i="13"/>
  <c r="F11" i="2"/>
  <c r="F9" i="2"/>
  <c r="F8" i="2"/>
  <c r="F12" i="2"/>
  <c r="F13" i="2"/>
  <c r="F10" i="2"/>
  <c r="V22" i="13"/>
  <c r="F68" i="2"/>
  <c r="F69" i="2"/>
  <c r="F70" i="2"/>
  <c r="F67" i="2"/>
  <c r="P48" i="13"/>
  <c r="V15" i="13"/>
  <c r="F37" i="2"/>
  <c r="F36" i="2"/>
  <c r="V16" i="13"/>
  <c r="F39" i="2"/>
  <c r="F38" i="2"/>
  <c r="V23" i="13"/>
  <c r="F72" i="2"/>
  <c r="F71" i="2"/>
  <c r="F73" i="2"/>
  <c r="F74" i="2"/>
  <c r="F75" i="2"/>
  <c r="V18" i="13"/>
  <c r="F43" i="2"/>
  <c r="F44" i="2"/>
  <c r="F45" i="2"/>
  <c r="F46" i="2"/>
  <c r="F42" i="2"/>
  <c r="V14" i="13"/>
  <c r="F35" i="2"/>
  <c r="F34" i="2"/>
  <c r="V20" i="13"/>
  <c r="F53" i="2"/>
  <c r="F54" i="2"/>
  <c r="F55" i="2"/>
  <c r="F51" i="2"/>
  <c r="F56" i="2"/>
  <c r="F52" i="2"/>
  <c r="F57" i="2"/>
  <c r="F6" i="2"/>
  <c r="F7" i="2"/>
  <c r="V9" i="13"/>
  <c r="F15" i="2"/>
  <c r="F17" i="2"/>
  <c r="F18" i="2"/>
  <c r="F14" i="2"/>
  <c r="F16" i="2"/>
  <c r="V17" i="13"/>
  <c r="F41" i="2"/>
  <c r="F40" i="2"/>
  <c r="U12" i="13"/>
  <c r="U11" i="13"/>
  <c r="U21" i="13"/>
  <c r="V10" i="13"/>
  <c r="F20" i="2"/>
  <c r="F19" i="2"/>
  <c r="U13" i="13"/>
  <c r="V19" i="13"/>
  <c r="F48" i="2"/>
  <c r="F47" i="2"/>
  <c r="F49" i="2"/>
  <c r="F50" i="2"/>
  <c r="I22" i="5"/>
  <c r="I64" i="5"/>
  <c r="I32" i="5"/>
  <c r="I74" i="5"/>
  <c r="I49" i="5"/>
  <c r="I19" i="5"/>
  <c r="I38" i="5"/>
  <c r="I56" i="5"/>
  <c r="I50" i="5"/>
  <c r="I37" i="5"/>
  <c r="I61" i="5"/>
  <c r="I12" i="5"/>
  <c r="I28" i="5"/>
  <c r="J7" i="3"/>
  <c r="K7" i="3" s="1"/>
  <c r="L7" i="3" s="1"/>
  <c r="M7" i="3" s="1"/>
  <c r="J38" i="3"/>
  <c r="K38" i="3" s="1"/>
  <c r="L38" i="3" s="1"/>
  <c r="M38" i="3" s="1"/>
  <c r="J67" i="3"/>
  <c r="K67" i="3" s="1"/>
  <c r="L67" i="3" s="1"/>
  <c r="M67" i="3" s="1"/>
  <c r="J66" i="3"/>
  <c r="K66" i="3" s="1"/>
  <c r="L66" i="3" s="1"/>
  <c r="M66" i="3" s="1"/>
  <c r="J20" i="3"/>
  <c r="K20" i="3" s="1"/>
  <c r="L20" i="3" s="1"/>
  <c r="M20" i="3" s="1"/>
  <c r="J34" i="3"/>
  <c r="K34" i="3" s="1"/>
  <c r="L34" i="3" s="1"/>
  <c r="M34" i="3" s="1"/>
  <c r="J45" i="3"/>
  <c r="K45" i="3" s="1"/>
  <c r="L45" i="3" s="1"/>
  <c r="M45" i="3" s="1"/>
  <c r="J50" i="3"/>
  <c r="K50" i="3" s="1"/>
  <c r="L50" i="3" s="1"/>
  <c r="M50" i="3" s="1"/>
  <c r="J36" i="3"/>
  <c r="K36" i="3" s="1"/>
  <c r="L36" i="3" s="1"/>
  <c r="M36" i="3" s="1"/>
  <c r="J46" i="3"/>
  <c r="K46" i="3" s="1"/>
  <c r="L46" i="3" s="1"/>
  <c r="M46" i="3" s="1"/>
  <c r="J65" i="3"/>
  <c r="K65" i="3" s="1"/>
  <c r="L65" i="3" s="1"/>
  <c r="M65" i="3" s="1"/>
  <c r="J57" i="3"/>
  <c r="K57" i="3" s="1"/>
  <c r="L57" i="3" s="1"/>
  <c r="M57" i="3" s="1"/>
  <c r="J8" i="3"/>
  <c r="K8" i="3" s="1"/>
  <c r="L8" i="3" s="1"/>
  <c r="M8" i="3" s="1"/>
  <c r="J31" i="3"/>
  <c r="K31" i="3" s="1"/>
  <c r="L31" i="3" s="1"/>
  <c r="M31" i="3" s="1"/>
  <c r="I65" i="5"/>
  <c r="I11" i="5"/>
  <c r="I26" i="5"/>
  <c r="I45" i="5"/>
  <c r="I16" i="5"/>
  <c r="I51" i="5"/>
  <c r="I14" i="5"/>
  <c r="I46" i="5"/>
  <c r="I35" i="5"/>
  <c r="I70" i="5"/>
  <c r="I57" i="5"/>
  <c r="I58" i="5"/>
  <c r="I6" i="5"/>
  <c r="I75" i="5"/>
  <c r="I42" i="5"/>
  <c r="I43" i="5"/>
  <c r="I59" i="5"/>
  <c r="I27" i="5"/>
  <c r="I67" i="5"/>
  <c r="I36" i="5"/>
  <c r="I73" i="5"/>
  <c r="I72" i="5"/>
  <c r="I66" i="5"/>
  <c r="I44" i="5"/>
  <c r="I8" i="5"/>
  <c r="I54" i="5"/>
  <c r="I39" i="5"/>
  <c r="I25" i="5"/>
  <c r="I41" i="5"/>
  <c r="I63" i="5"/>
  <c r="I76" i="5"/>
  <c r="I34" i="5"/>
  <c r="I47" i="5"/>
  <c r="I21" i="5"/>
  <c r="I62" i="5"/>
  <c r="I48" i="5"/>
  <c r="I7" i="5"/>
  <c r="I69" i="5"/>
  <c r="I15" i="5"/>
  <c r="I55" i="5"/>
  <c r="I23" i="5"/>
  <c r="I10" i="5"/>
  <c r="I31" i="5"/>
  <c r="I68" i="5"/>
  <c r="I30" i="5"/>
  <c r="I24" i="5"/>
  <c r="I71" i="5"/>
  <c r="I13" i="5"/>
  <c r="I20" i="5"/>
  <c r="I52" i="5"/>
  <c r="I18" i="5"/>
  <c r="I9" i="5"/>
  <c r="I53" i="5"/>
  <c r="I60" i="5"/>
  <c r="I17" i="5"/>
  <c r="I33" i="5"/>
  <c r="I29" i="5"/>
  <c r="J28" i="3"/>
  <c r="K28" i="3" s="1"/>
  <c r="L28" i="3" s="1"/>
  <c r="M28" i="3" s="1"/>
  <c r="J21" i="3"/>
  <c r="K21" i="3" s="1"/>
  <c r="L21" i="3" s="1"/>
  <c r="M21" i="3" s="1"/>
  <c r="J22" i="3"/>
  <c r="K22" i="3" s="1"/>
  <c r="L22" i="3" s="1"/>
  <c r="M22" i="3" s="1"/>
  <c r="J60" i="3"/>
  <c r="K60" i="3" s="1"/>
  <c r="L60" i="3" s="1"/>
  <c r="M60" i="3" s="1"/>
  <c r="J51" i="3"/>
  <c r="K51" i="3" s="1"/>
  <c r="L51" i="3" s="1"/>
  <c r="M51" i="3" s="1"/>
  <c r="J27" i="3"/>
  <c r="K27" i="3" s="1"/>
  <c r="L27" i="3" s="1"/>
  <c r="M27" i="3" s="1"/>
  <c r="J5" i="3"/>
  <c r="J54" i="3"/>
  <c r="K54" i="3" s="1"/>
  <c r="L54" i="3" s="1"/>
  <c r="M54" i="3" s="1"/>
  <c r="J58" i="3"/>
  <c r="K58" i="3" s="1"/>
  <c r="L58" i="3" s="1"/>
  <c r="M58" i="3" s="1"/>
  <c r="J62" i="3"/>
  <c r="K62" i="3" s="1"/>
  <c r="L62" i="3" s="1"/>
  <c r="M62" i="3" s="1"/>
  <c r="J72" i="3"/>
  <c r="K72" i="3" s="1"/>
  <c r="L72" i="3" s="1"/>
  <c r="M72" i="3" s="1"/>
  <c r="J52" i="3"/>
  <c r="K52" i="3" s="1"/>
  <c r="L52" i="3" s="1"/>
  <c r="M52" i="3" s="1"/>
  <c r="J9" i="3"/>
  <c r="K9" i="3" s="1"/>
  <c r="L9" i="3" s="1"/>
  <c r="M9" i="3" s="1"/>
  <c r="J44" i="3"/>
  <c r="K44" i="3" s="1"/>
  <c r="L44" i="3" s="1"/>
  <c r="M44" i="3" s="1"/>
  <c r="J73" i="3"/>
  <c r="K73" i="3" s="1"/>
  <c r="L73" i="3" s="1"/>
  <c r="M73" i="3" s="1"/>
  <c r="J32" i="3"/>
  <c r="K32" i="3" s="1"/>
  <c r="L32" i="3" s="1"/>
  <c r="M32" i="3" s="1"/>
  <c r="J69" i="3"/>
  <c r="K69" i="3" s="1"/>
  <c r="L69" i="3" s="1"/>
  <c r="M69" i="3" s="1"/>
  <c r="J75" i="3"/>
  <c r="K75" i="3" s="1"/>
  <c r="L75" i="3" s="1"/>
  <c r="M75" i="3" s="1"/>
  <c r="J11" i="3"/>
  <c r="K11" i="3" s="1"/>
  <c r="L11" i="3" s="1"/>
  <c r="M11" i="3" s="1"/>
  <c r="J18" i="3"/>
  <c r="K18" i="3" s="1"/>
  <c r="L18" i="3" s="1"/>
  <c r="M18" i="3" s="1"/>
  <c r="J53" i="3"/>
  <c r="K53" i="3" s="1"/>
  <c r="L53" i="3" s="1"/>
  <c r="M53" i="3" s="1"/>
  <c r="J42" i="3"/>
  <c r="K42" i="3" s="1"/>
  <c r="L42" i="3" s="1"/>
  <c r="M42" i="3" s="1"/>
  <c r="J63" i="3"/>
  <c r="K63" i="3" s="1"/>
  <c r="L63" i="3" s="1"/>
  <c r="M63" i="3" s="1"/>
  <c r="J29" i="3"/>
  <c r="K29" i="3" s="1"/>
  <c r="L29" i="3" s="1"/>
  <c r="M29" i="3" s="1"/>
  <c r="J23" i="3"/>
  <c r="K23" i="3" s="1"/>
  <c r="L23" i="3" s="1"/>
  <c r="M23" i="3" s="1"/>
  <c r="J71" i="3"/>
  <c r="K71" i="3" s="1"/>
  <c r="L71" i="3" s="1"/>
  <c r="M71" i="3" s="1"/>
  <c r="J10" i="3"/>
  <c r="K10" i="3" s="1"/>
  <c r="L10" i="3" s="1"/>
  <c r="M10" i="3" s="1"/>
  <c r="J6" i="3"/>
  <c r="K6" i="3" s="1"/>
  <c r="L6" i="3" s="1"/>
  <c r="M6" i="3" s="1"/>
  <c r="J48" i="3"/>
  <c r="K48" i="3" s="1"/>
  <c r="L48" i="3" s="1"/>
  <c r="M48" i="3" s="1"/>
  <c r="J49" i="3"/>
  <c r="K49" i="3" s="1"/>
  <c r="L49" i="3" s="1"/>
  <c r="M49" i="3" s="1"/>
  <c r="Q21" i="15"/>
  <c r="O12" i="15"/>
  <c r="O19" i="15"/>
  <c r="R21" i="15"/>
  <c r="P8" i="15"/>
  <c r="O8" i="15"/>
  <c r="N25" i="15"/>
  <c r="P19" i="15"/>
  <c r="S19" i="15" s="1"/>
  <c r="R19" i="15"/>
  <c r="Q23" i="15"/>
  <c r="P23" i="15"/>
  <c r="Z11" i="15" s="1"/>
  <c r="P15" i="15"/>
  <c r="O15" i="15"/>
  <c r="R22" i="15"/>
  <c r="O22" i="15"/>
  <c r="P22" i="15"/>
  <c r="Q22" i="15"/>
  <c r="R16" i="15"/>
  <c r="Q16" i="15"/>
  <c r="O16" i="15"/>
  <c r="P16" i="15"/>
  <c r="Q11" i="15"/>
  <c r="R11" i="15"/>
  <c r="O11" i="15"/>
  <c r="P11" i="15"/>
  <c r="R18" i="15"/>
  <c r="P18" i="15"/>
  <c r="O18" i="15"/>
  <c r="Q18" i="15"/>
  <c r="P13" i="15"/>
  <c r="R13" i="15"/>
  <c r="Q13" i="15"/>
  <c r="R23" i="15"/>
  <c r="R11" i="5"/>
  <c r="R19" i="14"/>
  <c r="J70" i="3"/>
  <c r="K70" i="3" s="1"/>
  <c r="L70" i="3" s="1"/>
  <c r="M70" i="3" s="1"/>
  <c r="J30" i="3"/>
  <c r="K30" i="3" s="1"/>
  <c r="L30" i="3" s="1"/>
  <c r="M30" i="3" s="1"/>
  <c r="J26" i="3"/>
  <c r="K26" i="3" s="1"/>
  <c r="L26" i="3" s="1"/>
  <c r="M26" i="3" s="1"/>
  <c r="J43" i="3"/>
  <c r="K43" i="3" s="1"/>
  <c r="L43" i="3" s="1"/>
  <c r="M43" i="3" s="1"/>
  <c r="J68" i="3"/>
  <c r="K68" i="3" s="1"/>
  <c r="L68" i="3" s="1"/>
  <c r="M68" i="3" s="1"/>
  <c r="J19" i="3"/>
  <c r="K19" i="3" s="1"/>
  <c r="L19" i="3" s="1"/>
  <c r="M19" i="3" s="1"/>
  <c r="J55" i="3"/>
  <c r="K55" i="3" s="1"/>
  <c r="L55" i="3" s="1"/>
  <c r="M55" i="3" s="1"/>
  <c r="J24" i="3"/>
  <c r="K24" i="3" s="1"/>
  <c r="L24" i="3" s="1"/>
  <c r="M24" i="3" s="1"/>
  <c r="J56" i="3"/>
  <c r="K56" i="3" s="1"/>
  <c r="L56" i="3" s="1"/>
  <c r="M56" i="3" s="1"/>
  <c r="J14" i="3"/>
  <c r="J15" i="3"/>
  <c r="K15" i="3" s="1"/>
  <c r="L15" i="3" s="1"/>
  <c r="M15" i="3" s="1"/>
  <c r="J64" i="3"/>
  <c r="K64" i="3" s="1"/>
  <c r="L64" i="3" s="1"/>
  <c r="M64" i="3" s="1"/>
  <c r="J33" i="3"/>
  <c r="K33" i="3" s="1"/>
  <c r="L33" i="3" s="1"/>
  <c r="M33" i="3" s="1"/>
  <c r="J16" i="3"/>
  <c r="K16" i="3" s="1"/>
  <c r="L16" i="3" s="1"/>
  <c r="M16" i="3" s="1"/>
  <c r="J17" i="3"/>
  <c r="K17" i="3" s="1"/>
  <c r="L17" i="3" s="1"/>
  <c r="M17" i="3" s="1"/>
  <c r="J12" i="3"/>
  <c r="K12" i="3" s="1"/>
  <c r="L12" i="3" s="1"/>
  <c r="M12" i="3" s="1"/>
  <c r="J41" i="3"/>
  <c r="K41" i="3" s="1"/>
  <c r="L41" i="3" s="1"/>
  <c r="M41" i="3" s="1"/>
  <c r="J25" i="3"/>
  <c r="K25" i="3" s="1"/>
  <c r="L25" i="3" s="1"/>
  <c r="M25" i="3" s="1"/>
  <c r="J74" i="3"/>
  <c r="K74" i="3" s="1"/>
  <c r="L74" i="3" s="1"/>
  <c r="M74" i="3" s="1"/>
  <c r="J47" i="3"/>
  <c r="K47" i="3" s="1"/>
  <c r="L47" i="3" s="1"/>
  <c r="M47" i="3" s="1"/>
  <c r="J40" i="3"/>
  <c r="K40" i="3" s="1"/>
  <c r="L40" i="3" s="1"/>
  <c r="M40" i="3" s="1"/>
  <c r="J37" i="3"/>
  <c r="K37" i="3" s="1"/>
  <c r="L37" i="3" s="1"/>
  <c r="M37" i="3" s="1"/>
  <c r="J61" i="3"/>
  <c r="K61" i="3" s="1"/>
  <c r="L61" i="3" s="1"/>
  <c r="M61" i="3" s="1"/>
  <c r="J59" i="3"/>
  <c r="K59" i="3" s="1"/>
  <c r="L59" i="3" s="1"/>
  <c r="M59" i="3" s="1"/>
  <c r="J35" i="3"/>
  <c r="K35" i="3" s="1"/>
  <c r="L35" i="3" s="1"/>
  <c r="M35" i="3" s="1"/>
  <c r="O25" i="22"/>
  <c r="AB9" i="22"/>
  <c r="Q14" i="22"/>
  <c r="R14" i="22" s="1"/>
  <c r="P14" i="18" s="1"/>
  <c r="AB8" i="22"/>
  <c r="Q11" i="22"/>
  <c r="R11" i="22" s="1"/>
  <c r="P11" i="18" s="1"/>
  <c r="AB10" i="22"/>
  <c r="Q18" i="22"/>
  <c r="R18" i="22" s="1"/>
  <c r="P18" i="18" s="1"/>
  <c r="Q21" i="22"/>
  <c r="R21" i="22" s="1"/>
  <c r="P21" i="18" s="1"/>
  <c r="AB11" i="22"/>
  <c r="AO11" i="21"/>
  <c r="Z19" i="21"/>
  <c r="Z20" i="21"/>
  <c r="Z18" i="21"/>
  <c r="V49" i="21"/>
  <c r="X25" i="21" s="1"/>
  <c r="M12" i="21"/>
  <c r="O12" i="21" s="1"/>
  <c r="M11" i="21"/>
  <c r="O11" i="21" s="1"/>
  <c r="M13" i="21"/>
  <c r="O13" i="21" s="1"/>
  <c r="AO9" i="21"/>
  <c r="Z11" i="21"/>
  <c r="Z13" i="21"/>
  <c r="Z12" i="21"/>
  <c r="P20" i="21"/>
  <c r="N20" i="21"/>
  <c r="AM13" i="21"/>
  <c r="F32" i="21"/>
  <c r="M10" i="21"/>
  <c r="O10" i="21" s="1"/>
  <c r="M9" i="21"/>
  <c r="O9" i="21" s="1"/>
  <c r="M8" i="21"/>
  <c r="O8" i="21" s="1"/>
  <c r="M7" i="21"/>
  <c r="N21" i="21"/>
  <c r="P21" i="21"/>
  <c r="S49" i="21"/>
  <c r="W25" i="21" s="1"/>
  <c r="AJ9" i="21"/>
  <c r="AN9" i="21"/>
  <c r="Y12" i="21"/>
  <c r="Y13" i="21"/>
  <c r="Y11" i="21"/>
  <c r="AI13" i="21"/>
  <c r="M17" i="21"/>
  <c r="O17" i="21" s="1"/>
  <c r="M15" i="21"/>
  <c r="O15" i="21" s="1"/>
  <c r="M16" i="21"/>
  <c r="O16" i="21" s="1"/>
  <c r="M14" i="21"/>
  <c r="O14" i="21" s="1"/>
  <c r="N23" i="21"/>
  <c r="P23" i="21"/>
  <c r="N18" i="21"/>
  <c r="P18" i="21"/>
  <c r="N22" i="21"/>
  <c r="P22" i="21"/>
  <c r="Z16" i="21"/>
  <c r="Z15" i="21"/>
  <c r="AO10" i="21"/>
  <c r="AO13" i="21" s="1"/>
  <c r="Z14" i="21"/>
  <c r="Z17" i="21"/>
  <c r="X49" i="21"/>
  <c r="Y16" i="21"/>
  <c r="Y15" i="21"/>
  <c r="Y14" i="21"/>
  <c r="Y17" i="21"/>
  <c r="AN10" i="21"/>
  <c r="T49" i="21"/>
  <c r="U25" i="21" s="1"/>
  <c r="AK9" i="21"/>
  <c r="AK13" i="21" s="1"/>
  <c r="O17" i="20"/>
  <c r="P17" i="20"/>
  <c r="O12" i="20"/>
  <c r="P12" i="20"/>
  <c r="O14" i="20"/>
  <c r="P14" i="20"/>
  <c r="O15" i="20"/>
  <c r="P15" i="20"/>
  <c r="O22" i="20"/>
  <c r="P22" i="20"/>
  <c r="P19" i="20"/>
  <c r="O19" i="20"/>
  <c r="P9" i="20"/>
  <c r="O9" i="20"/>
  <c r="P10" i="20"/>
  <c r="O10" i="20"/>
  <c r="O20" i="20"/>
  <c r="P20" i="20"/>
  <c r="O8" i="20"/>
  <c r="P8" i="20"/>
  <c r="O13" i="20"/>
  <c r="P13" i="20"/>
  <c r="O18" i="20"/>
  <c r="P18" i="20"/>
  <c r="O23" i="20"/>
  <c r="P23" i="20"/>
  <c r="AU13" i="20"/>
  <c r="S7" i="18"/>
  <c r="P15" i="19"/>
  <c r="AV39" i="19"/>
  <c r="AV45" i="19"/>
  <c r="AW52" i="19"/>
  <c r="AW50" i="19"/>
  <c r="AW40" i="19"/>
  <c r="AW51" i="19"/>
  <c r="AW45" i="19"/>
  <c r="AV51" i="19"/>
  <c r="AV50" i="19"/>
  <c r="O25" i="19"/>
  <c r="AW54" i="19"/>
  <c r="AV53" i="19"/>
  <c r="AV52" i="19"/>
  <c r="AV49" i="19"/>
  <c r="AV40" i="19"/>
  <c r="AV44" i="19"/>
  <c r="AW47" i="19"/>
  <c r="AV46" i="19"/>
  <c r="AV54" i="19"/>
  <c r="AV43" i="19"/>
  <c r="AW46" i="19"/>
  <c r="AW44" i="19"/>
  <c r="AW43" i="19"/>
  <c r="DN95" i="18"/>
  <c r="DG101" i="18"/>
  <c r="DL101" i="18"/>
  <c r="DN96" i="18"/>
  <c r="DN97" i="18"/>
  <c r="DN98" i="18"/>
  <c r="DJ101" i="18"/>
  <c r="CU90" i="18"/>
  <c r="DI101" i="18"/>
  <c r="DN99" i="18"/>
  <c r="R10" i="16"/>
  <c r="Q10" i="16"/>
  <c r="T10" i="16" s="1"/>
  <c r="Q10" i="18" s="1"/>
  <c r="Y10" i="18" s="1"/>
  <c r="AG10" i="18" s="1"/>
  <c r="S10" i="16"/>
  <c r="Z11" i="16"/>
  <c r="Q21" i="16"/>
  <c r="T21" i="16" s="1"/>
  <c r="R21" i="16"/>
  <c r="S21" i="16"/>
  <c r="Q16" i="16"/>
  <c r="T16" i="16" s="1"/>
  <c r="Q16" i="18" s="1"/>
  <c r="Y16" i="18" s="1"/>
  <c r="AG16" i="18" s="1"/>
  <c r="R16" i="16"/>
  <c r="S16" i="16"/>
  <c r="Q11" i="16"/>
  <c r="T11" i="16" s="1"/>
  <c r="Q11" i="18" s="1"/>
  <c r="Z8" i="16"/>
  <c r="R11" i="16"/>
  <c r="S11" i="16"/>
  <c r="Q23" i="16"/>
  <c r="T23" i="16" s="1"/>
  <c r="Q23" i="18" s="1"/>
  <c r="Y23" i="18" s="1"/>
  <c r="AG23" i="18" s="1"/>
  <c r="S23" i="16"/>
  <c r="R23" i="16"/>
  <c r="Q15" i="16"/>
  <c r="T15" i="16" s="1"/>
  <c r="Q15" i="18" s="1"/>
  <c r="R15" i="16"/>
  <c r="S15" i="16"/>
  <c r="R20" i="16"/>
  <c r="S20" i="16"/>
  <c r="Q20" i="16"/>
  <c r="T20" i="16" s="1"/>
  <c r="Q20" i="18" s="1"/>
  <c r="Y20" i="18" s="1"/>
  <c r="AG20" i="18" s="1"/>
  <c r="R19" i="16"/>
  <c r="S19" i="16"/>
  <c r="Q19" i="16"/>
  <c r="T19" i="16" s="1"/>
  <c r="Q19" i="18" s="1"/>
  <c r="Y19" i="18" s="1"/>
  <c r="AG19" i="18" s="1"/>
  <c r="R22" i="16"/>
  <c r="S22" i="16"/>
  <c r="Q22" i="16"/>
  <c r="T22" i="16" s="1"/>
  <c r="Q22" i="18" s="1"/>
  <c r="Y22" i="18" s="1"/>
  <c r="AG22" i="18" s="1"/>
  <c r="N25" i="16"/>
  <c r="O7" i="16"/>
  <c r="Q17" i="16"/>
  <c r="T17" i="16" s="1"/>
  <c r="Q17" i="18" s="1"/>
  <c r="Y17" i="18" s="1"/>
  <c r="AG17" i="18" s="1"/>
  <c r="R17" i="16"/>
  <c r="S17" i="16"/>
  <c r="Q18" i="16"/>
  <c r="T18" i="16" s="1"/>
  <c r="Q18" i="18" s="1"/>
  <c r="Z10" i="16"/>
  <c r="R18" i="16"/>
  <c r="S18" i="16"/>
  <c r="Q13" i="16"/>
  <c r="T13" i="16" s="1"/>
  <c r="Q13" i="18" s="1"/>
  <c r="Y13" i="18" s="1"/>
  <c r="AG13" i="18" s="1"/>
  <c r="R13" i="16"/>
  <c r="S13" i="16"/>
  <c r="Z9" i="16"/>
  <c r="Q8" i="16"/>
  <c r="T8" i="16" s="1"/>
  <c r="Q8" i="18" s="1"/>
  <c r="Y8" i="18" s="1"/>
  <c r="AG8" i="18" s="1"/>
  <c r="R8" i="16"/>
  <c r="S8" i="16"/>
  <c r="O14" i="15"/>
  <c r="P14" i="15"/>
  <c r="Q14" i="15"/>
  <c r="R14" i="15"/>
  <c r="I41" i="15"/>
  <c r="S7" i="15"/>
  <c r="O10" i="15"/>
  <c r="P10" i="15"/>
  <c r="Q10" i="15"/>
  <c r="R10" i="15"/>
  <c r="O17" i="15"/>
  <c r="P17" i="15"/>
  <c r="Q17" i="15"/>
  <c r="R17" i="15"/>
  <c r="O20" i="15"/>
  <c r="P20" i="15"/>
  <c r="Q20" i="15"/>
  <c r="R20" i="15"/>
  <c r="G32" i="14"/>
  <c r="R7" i="14"/>
  <c r="Y36" i="14"/>
  <c r="F32" i="14"/>
  <c r="AB36" i="14"/>
  <c r="R13" i="14"/>
  <c r="I32" i="14"/>
  <c r="J32" i="14"/>
  <c r="R17" i="14"/>
  <c r="H32" i="14"/>
  <c r="R18" i="14"/>
  <c r="R12" i="14"/>
  <c r="AA36" i="14"/>
  <c r="R23" i="14"/>
  <c r="R11" i="14"/>
  <c r="R16" i="14"/>
  <c r="R21" i="14"/>
  <c r="R22" i="14"/>
  <c r="Z36" i="14"/>
  <c r="AC36" i="14"/>
  <c r="V7" i="13"/>
  <c r="I78" i="5" l="1"/>
  <c r="BE37" i="23"/>
  <c r="AN13" i="21"/>
  <c r="Z24" i="21"/>
  <c r="Y24" i="21"/>
  <c r="N19" i="18"/>
  <c r="V19" i="18" s="1"/>
  <c r="AD19" i="18" s="1"/>
  <c r="J47" i="6"/>
  <c r="J48" i="6"/>
  <c r="J49" i="6"/>
  <c r="J50" i="6"/>
  <c r="H68" i="6"/>
  <c r="H69" i="6"/>
  <c r="H70" i="6"/>
  <c r="H67" i="6"/>
  <c r="H37" i="6"/>
  <c r="H36" i="6"/>
  <c r="I55" i="6"/>
  <c r="I56" i="6"/>
  <c r="I51" i="6"/>
  <c r="I57" i="6"/>
  <c r="I53" i="6"/>
  <c r="I52" i="6"/>
  <c r="I54" i="6"/>
  <c r="G69" i="6"/>
  <c r="G70" i="6"/>
  <c r="G68" i="6"/>
  <c r="G67" i="6"/>
  <c r="F70" i="6"/>
  <c r="F69" i="6"/>
  <c r="F68" i="6"/>
  <c r="F67" i="6"/>
  <c r="AB8" i="15"/>
  <c r="I31" i="6"/>
  <c r="I33" i="6"/>
  <c r="I32" i="6"/>
  <c r="G36" i="6"/>
  <c r="G37" i="6"/>
  <c r="G55" i="6"/>
  <c r="G56" i="6"/>
  <c r="G51" i="6"/>
  <c r="G53" i="6"/>
  <c r="G52" i="6"/>
  <c r="G57" i="6"/>
  <c r="G54" i="6"/>
  <c r="N9" i="18"/>
  <c r="V9" i="18" s="1"/>
  <c r="AD9" i="18" s="1"/>
  <c r="J15" i="6"/>
  <c r="J14" i="6"/>
  <c r="J16" i="6"/>
  <c r="J17" i="6"/>
  <c r="J18" i="6"/>
  <c r="S23" i="15"/>
  <c r="G75" i="6"/>
  <c r="G71" i="6"/>
  <c r="G73" i="6"/>
  <c r="G72" i="6"/>
  <c r="G74" i="6"/>
  <c r="I39" i="6"/>
  <c r="I38" i="6"/>
  <c r="I41" i="6"/>
  <c r="I40" i="6"/>
  <c r="H75" i="6"/>
  <c r="H71" i="6"/>
  <c r="H73" i="6"/>
  <c r="H72" i="6"/>
  <c r="H74" i="6"/>
  <c r="H55" i="6"/>
  <c r="H56" i="6"/>
  <c r="H57" i="6"/>
  <c r="H51" i="6"/>
  <c r="H53" i="6"/>
  <c r="H52" i="6"/>
  <c r="H54" i="6"/>
  <c r="F37" i="6"/>
  <c r="F36" i="6"/>
  <c r="G40" i="6"/>
  <c r="G41" i="6"/>
  <c r="H42" i="6"/>
  <c r="H44" i="6"/>
  <c r="H46" i="6"/>
  <c r="H45" i="6"/>
  <c r="H43" i="6"/>
  <c r="F42" i="6"/>
  <c r="F43" i="6"/>
  <c r="F46" i="6"/>
  <c r="F45" i="6"/>
  <c r="F44" i="6"/>
  <c r="I19" i="6"/>
  <c r="I20" i="6"/>
  <c r="Z10" i="15"/>
  <c r="G42" i="6"/>
  <c r="G44" i="6"/>
  <c r="G45" i="6"/>
  <c r="G46" i="6"/>
  <c r="G43" i="6"/>
  <c r="F58" i="6"/>
  <c r="F63" i="6"/>
  <c r="F62" i="6"/>
  <c r="F66" i="6"/>
  <c r="F64" i="6"/>
  <c r="F65" i="6"/>
  <c r="F61" i="6"/>
  <c r="F60" i="6"/>
  <c r="F59" i="6"/>
  <c r="S21" i="15"/>
  <c r="I75" i="6"/>
  <c r="I71" i="6"/>
  <c r="I74" i="6"/>
  <c r="I72" i="6"/>
  <c r="I73" i="6"/>
  <c r="I48" i="6"/>
  <c r="I50" i="6"/>
  <c r="I49" i="6"/>
  <c r="I47" i="6"/>
  <c r="G49" i="6"/>
  <c r="G50" i="6"/>
  <c r="G47" i="6"/>
  <c r="G48" i="6"/>
  <c r="I68" i="6"/>
  <c r="I70" i="6"/>
  <c r="I69" i="6"/>
  <c r="I67" i="6"/>
  <c r="F57" i="6"/>
  <c r="F56" i="6"/>
  <c r="F55" i="6"/>
  <c r="F51" i="6"/>
  <c r="F52" i="6"/>
  <c r="F53" i="6"/>
  <c r="F54" i="6"/>
  <c r="H31" i="6"/>
  <c r="H33" i="6"/>
  <c r="H32" i="6"/>
  <c r="S13" i="15"/>
  <c r="G31" i="6"/>
  <c r="G32" i="6"/>
  <c r="G33" i="6"/>
  <c r="H40" i="6"/>
  <c r="H41" i="6"/>
  <c r="F41" i="6"/>
  <c r="F40" i="6"/>
  <c r="AA7" i="15"/>
  <c r="H20" i="6"/>
  <c r="H19" i="6"/>
  <c r="I42" i="6"/>
  <c r="I44" i="6"/>
  <c r="I45" i="6"/>
  <c r="I46" i="6"/>
  <c r="I43" i="6"/>
  <c r="G19" i="6"/>
  <c r="G20" i="6"/>
  <c r="G22" i="6"/>
  <c r="G23" i="6"/>
  <c r="G24" i="6"/>
  <c r="G21" i="6"/>
  <c r="F19" i="6"/>
  <c r="F20" i="6"/>
  <c r="F24" i="6"/>
  <c r="F22" i="6"/>
  <c r="F23" i="6"/>
  <c r="F21" i="6"/>
  <c r="J6" i="6"/>
  <c r="J7" i="6"/>
  <c r="J5" i="6"/>
  <c r="I21" i="6"/>
  <c r="I22" i="6"/>
  <c r="I24" i="6"/>
  <c r="I23" i="6"/>
  <c r="F11" i="6"/>
  <c r="F10" i="6"/>
  <c r="F9" i="6"/>
  <c r="F8" i="6"/>
  <c r="F13" i="6"/>
  <c r="F12" i="6"/>
  <c r="H22" i="6"/>
  <c r="H24" i="6"/>
  <c r="H21" i="6"/>
  <c r="H23" i="6"/>
  <c r="G9" i="6"/>
  <c r="G11" i="6"/>
  <c r="G10" i="6"/>
  <c r="G12" i="6"/>
  <c r="G13" i="6"/>
  <c r="G8" i="6"/>
  <c r="I61" i="6"/>
  <c r="I62" i="6"/>
  <c r="I64" i="6"/>
  <c r="I63" i="6"/>
  <c r="I58" i="6"/>
  <c r="I65" i="6"/>
  <c r="I59" i="6"/>
  <c r="I66" i="6"/>
  <c r="I60" i="6"/>
  <c r="H35" i="6"/>
  <c r="H34" i="6"/>
  <c r="G38" i="6"/>
  <c r="G39" i="6"/>
  <c r="F49" i="6"/>
  <c r="F48" i="6"/>
  <c r="F50" i="6"/>
  <c r="F47" i="6"/>
  <c r="G35" i="6"/>
  <c r="G34" i="6"/>
  <c r="F38" i="6"/>
  <c r="F39" i="6"/>
  <c r="S12" i="15"/>
  <c r="F30" i="6"/>
  <c r="F27" i="6"/>
  <c r="F26" i="6"/>
  <c r="F29" i="6"/>
  <c r="F28" i="6"/>
  <c r="F25" i="6"/>
  <c r="I35" i="6"/>
  <c r="I34" i="6"/>
  <c r="F35" i="6"/>
  <c r="F34" i="6"/>
  <c r="H38" i="6"/>
  <c r="H39" i="6"/>
  <c r="H62" i="6"/>
  <c r="H64" i="6"/>
  <c r="H60" i="6"/>
  <c r="H58" i="6"/>
  <c r="H65" i="6"/>
  <c r="H66" i="6"/>
  <c r="H61" i="6"/>
  <c r="H59" i="6"/>
  <c r="H63" i="6"/>
  <c r="Q21" i="18"/>
  <c r="Y15" i="18"/>
  <c r="AA32" i="18"/>
  <c r="AA33" i="18"/>
  <c r="Y18" i="18"/>
  <c r="Y11" i="18"/>
  <c r="AA31" i="18"/>
  <c r="L7" i="7"/>
  <c r="L5" i="7"/>
  <c r="L6" i="7"/>
  <c r="F18" i="7"/>
  <c r="F17" i="7"/>
  <c r="F16" i="7"/>
  <c r="F15" i="7"/>
  <c r="F14" i="7"/>
  <c r="V9" i="20"/>
  <c r="G18" i="7"/>
  <c r="G15" i="7"/>
  <c r="G16" i="7"/>
  <c r="G17" i="7"/>
  <c r="G14" i="7"/>
  <c r="V20" i="20"/>
  <c r="G51" i="7"/>
  <c r="G55" i="7"/>
  <c r="G52" i="7"/>
  <c r="G53" i="7"/>
  <c r="G56" i="7"/>
  <c r="G54" i="7"/>
  <c r="G57" i="7"/>
  <c r="F20" i="7"/>
  <c r="F19" i="7"/>
  <c r="J7" i="7"/>
  <c r="J5" i="7"/>
  <c r="J6" i="7"/>
  <c r="F47" i="7"/>
  <c r="F48" i="7"/>
  <c r="F50" i="7"/>
  <c r="F49" i="7"/>
  <c r="F57" i="7"/>
  <c r="F56" i="7"/>
  <c r="F55" i="7"/>
  <c r="F54" i="7"/>
  <c r="F53" i="7"/>
  <c r="F52" i="7"/>
  <c r="F51" i="7"/>
  <c r="V10" i="20"/>
  <c r="G19" i="7"/>
  <c r="G20" i="7"/>
  <c r="H5" i="7"/>
  <c r="H6" i="7"/>
  <c r="H7" i="7"/>
  <c r="V19" i="20"/>
  <c r="G48" i="7"/>
  <c r="G49" i="7"/>
  <c r="G50" i="7"/>
  <c r="G47" i="7"/>
  <c r="S11" i="18"/>
  <c r="AA11" i="18" s="1"/>
  <c r="AI11" i="18" s="1"/>
  <c r="F22" i="7"/>
  <c r="F21" i="7"/>
  <c r="F24" i="7"/>
  <c r="F23" i="7"/>
  <c r="U11" i="20"/>
  <c r="S11" i="20"/>
  <c r="W11" i="20"/>
  <c r="Q11" i="20"/>
  <c r="X11" i="20"/>
  <c r="Z11" i="20" s="1"/>
  <c r="R11" i="20"/>
  <c r="I5" i="7"/>
  <c r="I6" i="7"/>
  <c r="I7" i="7"/>
  <c r="V22" i="20"/>
  <c r="G68" i="7"/>
  <c r="G69" i="7"/>
  <c r="G67" i="7"/>
  <c r="G70" i="7"/>
  <c r="V11" i="20"/>
  <c r="G21" i="7"/>
  <c r="G22" i="7"/>
  <c r="G23" i="7"/>
  <c r="G24" i="7"/>
  <c r="F67" i="7"/>
  <c r="F69" i="7"/>
  <c r="F70" i="7"/>
  <c r="F68" i="7"/>
  <c r="F37" i="7"/>
  <c r="F36" i="7"/>
  <c r="F73" i="7"/>
  <c r="F71" i="7"/>
  <c r="F75" i="7"/>
  <c r="F74" i="7"/>
  <c r="F72" i="7"/>
  <c r="F35" i="7"/>
  <c r="F34" i="7"/>
  <c r="F45" i="7"/>
  <c r="F43" i="7"/>
  <c r="F44" i="7"/>
  <c r="F42" i="7"/>
  <c r="F46" i="7"/>
  <c r="V12" i="20"/>
  <c r="G28" i="7"/>
  <c r="G25" i="7"/>
  <c r="G29" i="7"/>
  <c r="G26" i="7"/>
  <c r="G30" i="7"/>
  <c r="G27" i="7"/>
  <c r="V13" i="20"/>
  <c r="G31" i="7"/>
  <c r="G32" i="7"/>
  <c r="G33" i="7"/>
  <c r="Q16" i="20"/>
  <c r="F38" i="7"/>
  <c r="F39" i="7"/>
  <c r="S16" i="18"/>
  <c r="AA16" i="18" s="1"/>
  <c r="AI16" i="18" s="1"/>
  <c r="U16" i="20"/>
  <c r="S16" i="20"/>
  <c r="X16" i="20"/>
  <c r="Z16" i="20" s="1"/>
  <c r="W16" i="20"/>
  <c r="R16" i="20"/>
  <c r="F33" i="7"/>
  <c r="F31" i="7"/>
  <c r="F32" i="7"/>
  <c r="V8" i="20"/>
  <c r="G11" i="7"/>
  <c r="G8" i="7"/>
  <c r="G12" i="7"/>
  <c r="G9" i="7"/>
  <c r="G13" i="7"/>
  <c r="G10" i="7"/>
  <c r="F41" i="7"/>
  <c r="F40" i="7"/>
  <c r="Q21" i="20"/>
  <c r="F66" i="7"/>
  <c r="F65" i="7"/>
  <c r="F63" i="7"/>
  <c r="F61" i="7"/>
  <c r="F60" i="7"/>
  <c r="F64" i="7"/>
  <c r="F62" i="7"/>
  <c r="F59" i="7"/>
  <c r="F58" i="7"/>
  <c r="X21" i="20"/>
  <c r="Z21" i="20" s="1"/>
  <c r="U21" i="20"/>
  <c r="S21" i="18"/>
  <c r="AA21" i="18" s="1"/>
  <c r="AI21" i="18" s="1"/>
  <c r="S21" i="20"/>
  <c r="W21" i="20"/>
  <c r="R21" i="20"/>
  <c r="V15" i="20"/>
  <c r="G36" i="7"/>
  <c r="G37" i="7"/>
  <c r="V23" i="20"/>
  <c r="G71" i="7"/>
  <c r="G75" i="7"/>
  <c r="G72" i="7"/>
  <c r="G73" i="7"/>
  <c r="G74" i="7"/>
  <c r="V14" i="20"/>
  <c r="G35" i="7"/>
  <c r="G34" i="7"/>
  <c r="V18" i="20"/>
  <c r="G45" i="7"/>
  <c r="G42" i="7"/>
  <c r="G46" i="7"/>
  <c r="G43" i="7"/>
  <c r="G44" i="7"/>
  <c r="F25" i="7"/>
  <c r="F28" i="7"/>
  <c r="F26" i="7"/>
  <c r="F27" i="7"/>
  <c r="F30" i="7"/>
  <c r="F29" i="7"/>
  <c r="V17" i="20"/>
  <c r="G41" i="7"/>
  <c r="G40" i="7"/>
  <c r="V16" i="20"/>
  <c r="G38" i="7"/>
  <c r="G39" i="7"/>
  <c r="F13" i="7"/>
  <c r="F8" i="7"/>
  <c r="F12" i="7"/>
  <c r="F11" i="7"/>
  <c r="F10" i="7"/>
  <c r="F9" i="7"/>
  <c r="V21" i="20"/>
  <c r="G61" i="7"/>
  <c r="G58" i="7"/>
  <c r="G65" i="7"/>
  <c r="G62" i="7"/>
  <c r="G59" i="7"/>
  <c r="G63" i="7"/>
  <c r="G60" i="7"/>
  <c r="G64" i="7"/>
  <c r="G66" i="7"/>
  <c r="K5" i="3"/>
  <c r="J76" i="3"/>
  <c r="BE64" i="23"/>
  <c r="BE30" i="23"/>
  <c r="Q8" i="13"/>
  <c r="R8" i="13" s="1"/>
  <c r="S8" i="13" s="1"/>
  <c r="Q15" i="13"/>
  <c r="R15" i="13" s="1"/>
  <c r="S15" i="13" s="1"/>
  <c r="Q7" i="13"/>
  <c r="Q19" i="13"/>
  <c r="R19" i="13" s="1"/>
  <c r="S19" i="13" s="1"/>
  <c r="Q11" i="13"/>
  <c r="R11" i="13" s="1"/>
  <c r="S11" i="13" s="1"/>
  <c r="Q9" i="13"/>
  <c r="R9" i="13" s="1"/>
  <c r="S9" i="13" s="1"/>
  <c r="Q10" i="13"/>
  <c r="R10" i="13" s="1"/>
  <c r="S10" i="13" s="1"/>
  <c r="Q23" i="13"/>
  <c r="R23" i="13" s="1"/>
  <c r="S23" i="13" s="1"/>
  <c r="Q12" i="13"/>
  <c r="R12" i="13" s="1"/>
  <c r="S12" i="13" s="1"/>
  <c r="Q13" i="13"/>
  <c r="R13" i="13" s="1"/>
  <c r="S13" i="13" s="1"/>
  <c r="Q16" i="13"/>
  <c r="R16" i="13" s="1"/>
  <c r="S16" i="13" s="1"/>
  <c r="Q14" i="13"/>
  <c r="R14" i="13" s="1"/>
  <c r="S14" i="13" s="1"/>
  <c r="Q20" i="13"/>
  <c r="R20" i="13" s="1"/>
  <c r="S20" i="13" s="1"/>
  <c r="Q17" i="13"/>
  <c r="R17" i="13" s="1"/>
  <c r="S17" i="13" s="1"/>
  <c r="Q18" i="13"/>
  <c r="R18" i="13" s="1"/>
  <c r="S18" i="13" s="1"/>
  <c r="Q22" i="13"/>
  <c r="R22" i="13" s="1"/>
  <c r="S22" i="13" s="1"/>
  <c r="G20" i="2"/>
  <c r="G19" i="2"/>
  <c r="G54" i="2"/>
  <c r="G55" i="2"/>
  <c r="G52" i="2"/>
  <c r="G56" i="2"/>
  <c r="G51" i="2"/>
  <c r="G53" i="2"/>
  <c r="G57" i="2"/>
  <c r="G36" i="2"/>
  <c r="G37" i="2"/>
  <c r="V11" i="13"/>
  <c r="F23" i="2"/>
  <c r="F22" i="2"/>
  <c r="F21" i="2"/>
  <c r="F24" i="2"/>
  <c r="G40" i="2"/>
  <c r="G41" i="2"/>
  <c r="G35" i="2"/>
  <c r="G34" i="2"/>
  <c r="G69" i="2"/>
  <c r="G67" i="2"/>
  <c r="G70" i="2"/>
  <c r="G68" i="2"/>
  <c r="V12" i="13"/>
  <c r="F25" i="2"/>
  <c r="F26" i="2"/>
  <c r="F30" i="2"/>
  <c r="F29" i="2"/>
  <c r="F27" i="2"/>
  <c r="F28" i="2"/>
  <c r="U24" i="13"/>
  <c r="G44" i="2"/>
  <c r="G45" i="2"/>
  <c r="G42" i="2"/>
  <c r="G46" i="2"/>
  <c r="G43" i="2"/>
  <c r="G5" i="2"/>
  <c r="G6" i="2"/>
  <c r="G7" i="2"/>
  <c r="G18" i="2"/>
  <c r="G15" i="2"/>
  <c r="G17" i="2"/>
  <c r="G14" i="2"/>
  <c r="G16" i="2"/>
  <c r="G50" i="2"/>
  <c r="G47" i="2"/>
  <c r="G48" i="2"/>
  <c r="G49" i="2"/>
  <c r="G38" i="2"/>
  <c r="G39" i="2"/>
  <c r="V13" i="13"/>
  <c r="F33" i="2"/>
  <c r="F31" i="2"/>
  <c r="F32" i="2"/>
  <c r="V21" i="13"/>
  <c r="F61" i="2"/>
  <c r="F62" i="2"/>
  <c r="F63" i="2"/>
  <c r="F66" i="2"/>
  <c r="F64" i="2"/>
  <c r="F59" i="2"/>
  <c r="F58" i="2"/>
  <c r="F65" i="2"/>
  <c r="F60" i="2"/>
  <c r="G11" i="2"/>
  <c r="G12" i="2"/>
  <c r="G9" i="2"/>
  <c r="G13" i="2"/>
  <c r="G10" i="2"/>
  <c r="G8" i="2"/>
  <c r="G72" i="2"/>
  <c r="G71" i="2"/>
  <c r="G73" i="2"/>
  <c r="G74" i="2"/>
  <c r="G75" i="2"/>
  <c r="BE72" i="23"/>
  <c r="BE27" i="23"/>
  <c r="BE58" i="23"/>
  <c r="BE7" i="23"/>
  <c r="BE12" i="23"/>
  <c r="BE53" i="23"/>
  <c r="BE18" i="23"/>
  <c r="BE6" i="23"/>
  <c r="BE54" i="23"/>
  <c r="BE41" i="23"/>
  <c r="BE10" i="23"/>
  <c r="BE28" i="23"/>
  <c r="BE57" i="23"/>
  <c r="BE56" i="23"/>
  <c r="BE11" i="23"/>
  <c r="BE65" i="23"/>
  <c r="BE8" i="23"/>
  <c r="BE24" i="23"/>
  <c r="BE55" i="23"/>
  <c r="BE36" i="23"/>
  <c r="BE32" i="23"/>
  <c r="BE35" i="23"/>
  <c r="BE73" i="23"/>
  <c r="BE45" i="23"/>
  <c r="BE59" i="23"/>
  <c r="BE44" i="23"/>
  <c r="BE48" i="23"/>
  <c r="BE25" i="23"/>
  <c r="BE71" i="23"/>
  <c r="BE23" i="23"/>
  <c r="BE51" i="23"/>
  <c r="BE29" i="23"/>
  <c r="BE33" i="23"/>
  <c r="BE31" i="23"/>
  <c r="BE75" i="23"/>
  <c r="BE46" i="23"/>
  <c r="BE50" i="23"/>
  <c r="BE9" i="23"/>
  <c r="BE20" i="23"/>
  <c r="BE19" i="23"/>
  <c r="BE68" i="23"/>
  <c r="BE43" i="23"/>
  <c r="BE26" i="23"/>
  <c r="BE66" i="23"/>
  <c r="BE69" i="23"/>
  <c r="BE70" i="23"/>
  <c r="BE39" i="23"/>
  <c r="BE47" i="23"/>
  <c r="BE49" i="23"/>
  <c r="BE62" i="23"/>
  <c r="BE13" i="23"/>
  <c r="BE74" i="23"/>
  <c r="BE63" i="23"/>
  <c r="BE22" i="23"/>
  <c r="BE16" i="23"/>
  <c r="BE60" i="23"/>
  <c r="W7" i="3"/>
  <c r="P25" i="15"/>
  <c r="Z8" i="15"/>
  <c r="Z9" i="15"/>
  <c r="Z7" i="15"/>
  <c r="S8" i="15"/>
  <c r="S15" i="15"/>
  <c r="AA10" i="15"/>
  <c r="AA11" i="15"/>
  <c r="R25" i="15"/>
  <c r="AB11" i="15"/>
  <c r="AA8" i="15"/>
  <c r="O25" i="15"/>
  <c r="S18" i="15"/>
  <c r="AB10" i="15"/>
  <c r="S16" i="15"/>
  <c r="Y7" i="15"/>
  <c r="S22" i="15"/>
  <c r="Y11" i="15"/>
  <c r="AC11" i="15" s="1"/>
  <c r="Q25" i="15"/>
  <c r="AB7" i="15"/>
  <c r="S11" i="15"/>
  <c r="Y8" i="15"/>
  <c r="AB9" i="15"/>
  <c r="AA9" i="15"/>
  <c r="N7" i="18"/>
  <c r="K14" i="3"/>
  <c r="X21" i="18"/>
  <c r="Z34" i="18"/>
  <c r="AC10" i="22"/>
  <c r="AD10" i="22"/>
  <c r="AF10" i="22"/>
  <c r="AG10" i="22"/>
  <c r="AF8" i="22"/>
  <c r="AG8" i="22"/>
  <c r="AC8" i="22"/>
  <c r="AD8" i="22"/>
  <c r="AG11" i="22"/>
  <c r="AC11" i="22"/>
  <c r="AD11" i="22"/>
  <c r="AF11" i="22"/>
  <c r="X18" i="18"/>
  <c r="Z33" i="18"/>
  <c r="Z31" i="18"/>
  <c r="X11" i="18"/>
  <c r="X14" i="18"/>
  <c r="Z32" i="18"/>
  <c r="AC9" i="22"/>
  <c r="AF9" i="22"/>
  <c r="AG9" i="22"/>
  <c r="AD9" i="22"/>
  <c r="AB7" i="22"/>
  <c r="Q7" i="22"/>
  <c r="R7" i="22" s="1"/>
  <c r="P26" i="22"/>
  <c r="P27" i="22" s="1"/>
  <c r="M24" i="21"/>
  <c r="O7" i="21"/>
  <c r="P8" i="21"/>
  <c r="N8" i="21"/>
  <c r="N9" i="21"/>
  <c r="P9" i="21"/>
  <c r="P10" i="21"/>
  <c r="N10" i="21"/>
  <c r="N14" i="21"/>
  <c r="P14" i="21"/>
  <c r="P16" i="21"/>
  <c r="N16" i="21"/>
  <c r="N15" i="21"/>
  <c r="P15" i="21"/>
  <c r="N17" i="21"/>
  <c r="P17" i="21"/>
  <c r="N13" i="21"/>
  <c r="P13" i="21"/>
  <c r="N11" i="21"/>
  <c r="P11" i="21"/>
  <c r="AJ13" i="21"/>
  <c r="N12" i="21"/>
  <c r="P12" i="21"/>
  <c r="R10" i="20"/>
  <c r="S10" i="18"/>
  <c r="AA10" i="18" s="1"/>
  <c r="AI10" i="18" s="1"/>
  <c r="S10" i="20"/>
  <c r="U10" i="20"/>
  <c r="W10" i="20"/>
  <c r="X10" i="20"/>
  <c r="Z10" i="20" s="1"/>
  <c r="Q10" i="20"/>
  <c r="W8" i="20"/>
  <c r="X8" i="20"/>
  <c r="Z8" i="20" s="1"/>
  <c r="Q8" i="20"/>
  <c r="R8" i="20"/>
  <c r="U8" i="20"/>
  <c r="S8" i="20"/>
  <c r="S8" i="18"/>
  <c r="AA8" i="18" s="1"/>
  <c r="AI8" i="18" s="1"/>
  <c r="Q9" i="20"/>
  <c r="R9" i="20"/>
  <c r="X9" i="20"/>
  <c r="Z9" i="20" s="1"/>
  <c r="U9" i="20"/>
  <c r="W9" i="20"/>
  <c r="S9" i="20"/>
  <c r="S9" i="18"/>
  <c r="AA9" i="18" s="1"/>
  <c r="AI9" i="18" s="1"/>
  <c r="AA7" i="18"/>
  <c r="O24" i="20"/>
  <c r="R17" i="20"/>
  <c r="Q17" i="20"/>
  <c r="U17" i="20"/>
  <c r="X17" i="20"/>
  <c r="Z17" i="20" s="1"/>
  <c r="S17" i="18"/>
  <c r="AA17" i="18" s="1"/>
  <c r="AI17" i="18" s="1"/>
  <c r="S17" i="20"/>
  <c r="W17" i="20"/>
  <c r="R20" i="20"/>
  <c r="S20" i="20"/>
  <c r="S20" i="18"/>
  <c r="AA20" i="18" s="1"/>
  <c r="AI20" i="18" s="1"/>
  <c r="U20" i="20"/>
  <c r="X20" i="20"/>
  <c r="Z20" i="20" s="1"/>
  <c r="W20" i="20"/>
  <c r="Q20" i="20"/>
  <c r="P24" i="20"/>
  <c r="Z7" i="20"/>
  <c r="R19" i="20"/>
  <c r="U19" i="20"/>
  <c r="S19" i="18"/>
  <c r="AA19" i="18" s="1"/>
  <c r="AI19" i="18" s="1"/>
  <c r="W19" i="20"/>
  <c r="X19" i="20"/>
  <c r="Z19" i="20" s="1"/>
  <c r="Q19" i="20"/>
  <c r="S19" i="20"/>
  <c r="R22" i="20"/>
  <c r="Q22" i="20"/>
  <c r="S22" i="20"/>
  <c r="W22" i="20"/>
  <c r="X22" i="20"/>
  <c r="Z22" i="20" s="1"/>
  <c r="S22" i="18"/>
  <c r="U22" i="20"/>
  <c r="W23" i="20"/>
  <c r="X23" i="20"/>
  <c r="Z23" i="20" s="1"/>
  <c r="U23" i="20"/>
  <c r="S23" i="18"/>
  <c r="AA23" i="18" s="1"/>
  <c r="AI23" i="18" s="1"/>
  <c r="Q23" i="20"/>
  <c r="R23" i="20"/>
  <c r="S23" i="20"/>
  <c r="R15" i="20"/>
  <c r="S15" i="20"/>
  <c r="U15" i="20"/>
  <c r="X15" i="20"/>
  <c r="Z15" i="20" s="1"/>
  <c r="W15" i="20"/>
  <c r="S15" i="18"/>
  <c r="AA15" i="18" s="1"/>
  <c r="AI15" i="18" s="1"/>
  <c r="Q15" i="20"/>
  <c r="W18" i="20"/>
  <c r="X18" i="20"/>
  <c r="Z18" i="20" s="1"/>
  <c r="S18" i="18"/>
  <c r="Q18" i="20"/>
  <c r="R18" i="20"/>
  <c r="U18" i="20"/>
  <c r="S18" i="20"/>
  <c r="S14" i="20"/>
  <c r="U14" i="20"/>
  <c r="R14" i="20"/>
  <c r="W14" i="20"/>
  <c r="X14" i="20"/>
  <c r="Z14" i="20" s="1"/>
  <c r="S14" i="18"/>
  <c r="Q14" i="20"/>
  <c r="W13" i="20"/>
  <c r="X13" i="20"/>
  <c r="Z13" i="20" s="1"/>
  <c r="S13" i="18"/>
  <c r="AA13" i="18" s="1"/>
  <c r="AI13" i="18" s="1"/>
  <c r="Q13" i="20"/>
  <c r="R13" i="20"/>
  <c r="U13" i="20"/>
  <c r="S13" i="20"/>
  <c r="R12" i="20"/>
  <c r="Q12" i="20"/>
  <c r="X12" i="20"/>
  <c r="Z12" i="20" s="1"/>
  <c r="U12" i="20"/>
  <c r="W12" i="20"/>
  <c r="S12" i="20"/>
  <c r="S12" i="18"/>
  <c r="Q15" i="19"/>
  <c r="AE15" i="19" s="1"/>
  <c r="V15" i="19"/>
  <c r="AJ15" i="19" s="1"/>
  <c r="Z15" i="19"/>
  <c r="W15" i="19"/>
  <c r="AK15" i="19" s="1"/>
  <c r="Y15" i="19"/>
  <c r="X15" i="19"/>
  <c r="AA15" i="19"/>
  <c r="AB15" i="19"/>
  <c r="AC15" i="19"/>
  <c r="R15" i="19"/>
  <c r="AF15" i="19" s="1"/>
  <c r="S15" i="19"/>
  <c r="AG15" i="19" s="1"/>
  <c r="T15" i="19"/>
  <c r="AH15" i="19" s="1"/>
  <c r="U15" i="19"/>
  <c r="AI15" i="19" s="1"/>
  <c r="AD15" i="19"/>
  <c r="P21" i="19"/>
  <c r="P16" i="19"/>
  <c r="P11" i="19"/>
  <c r="P7" i="19"/>
  <c r="P19" i="19"/>
  <c r="P10" i="19"/>
  <c r="P12" i="19"/>
  <c r="P17" i="19"/>
  <c r="P22" i="19"/>
  <c r="P23" i="19"/>
  <c r="P18" i="19"/>
  <c r="P8" i="19"/>
  <c r="P14" i="19"/>
  <c r="P13" i="19"/>
  <c r="P20" i="19"/>
  <c r="P9" i="19"/>
  <c r="DM106" i="18"/>
  <c r="DN107" i="18"/>
  <c r="AA11" i="16"/>
  <c r="AA9" i="16"/>
  <c r="AA10" i="16"/>
  <c r="AA8" i="16"/>
  <c r="O25" i="16"/>
  <c r="P7" i="16"/>
  <c r="S14" i="15"/>
  <c r="Y9" i="15"/>
  <c r="S17" i="15"/>
  <c r="S20" i="15"/>
  <c r="Y10" i="15"/>
  <c r="S10" i="15"/>
  <c r="R27" i="14"/>
  <c r="H33" i="14"/>
  <c r="AA37" i="14"/>
  <c r="AC37" i="14"/>
  <c r="J33" i="14"/>
  <c r="AB37" i="14"/>
  <c r="I33" i="14"/>
  <c r="F33" i="14"/>
  <c r="Y37" i="14"/>
  <c r="Z37" i="14"/>
  <c r="G33" i="14"/>
  <c r="R7" i="13"/>
  <c r="S7" i="13" s="1"/>
  <c r="F76" i="6" l="1"/>
  <c r="I76" i="6"/>
  <c r="G76" i="6"/>
  <c r="H76" i="6"/>
  <c r="N15" i="18"/>
  <c r="V15" i="18" s="1"/>
  <c r="J36" i="6"/>
  <c r="J37" i="6"/>
  <c r="N11" i="18"/>
  <c r="J22" i="6"/>
  <c r="J21" i="6"/>
  <c r="J23" i="6"/>
  <c r="J24" i="6"/>
  <c r="Z12" i="15"/>
  <c r="N8" i="18"/>
  <c r="V8" i="18" s="1"/>
  <c r="J8" i="6"/>
  <c r="J9" i="6"/>
  <c r="J10" i="6"/>
  <c r="J13" i="6"/>
  <c r="J12" i="6"/>
  <c r="J11" i="6"/>
  <c r="N22" i="18"/>
  <c r="X34" i="18" s="1"/>
  <c r="J67" i="6"/>
  <c r="J68" i="6"/>
  <c r="J69" i="6"/>
  <c r="J70" i="6"/>
  <c r="N10" i="18"/>
  <c r="J19" i="6"/>
  <c r="J20" i="6"/>
  <c r="AC10" i="15"/>
  <c r="N20" i="18"/>
  <c r="X33" i="18" s="1"/>
  <c r="J53" i="6"/>
  <c r="J55" i="6"/>
  <c r="J54" i="6"/>
  <c r="J52" i="6"/>
  <c r="J56" i="6"/>
  <c r="J57" i="6"/>
  <c r="J51" i="6"/>
  <c r="N16" i="18"/>
  <c r="J38" i="6"/>
  <c r="J39" i="6"/>
  <c r="N13" i="18"/>
  <c r="V13" i="18" s="1"/>
  <c r="AD13" i="18" s="1"/>
  <c r="J31" i="6"/>
  <c r="J33" i="6"/>
  <c r="J32" i="6"/>
  <c r="N23" i="18"/>
  <c r="V23" i="18" s="1"/>
  <c r="J73" i="6"/>
  <c r="J74" i="6"/>
  <c r="J75" i="6"/>
  <c r="J72" i="6"/>
  <c r="J71" i="6"/>
  <c r="N18" i="18"/>
  <c r="J46" i="6"/>
  <c r="J42" i="6"/>
  <c r="J43" i="6"/>
  <c r="J44" i="6"/>
  <c r="J45" i="6"/>
  <c r="N14" i="18"/>
  <c r="V14" i="18" s="1"/>
  <c r="J34" i="6"/>
  <c r="J35" i="6"/>
  <c r="N12" i="18"/>
  <c r="V12" i="18" s="1"/>
  <c r="AD12" i="18" s="1"/>
  <c r="J26" i="6"/>
  <c r="J27" i="6"/>
  <c r="J28" i="6"/>
  <c r="J29" i="6"/>
  <c r="J30" i="6"/>
  <c r="J25" i="6"/>
  <c r="N21" i="18"/>
  <c r="V21" i="18" s="1"/>
  <c r="AD21" i="18" s="1"/>
  <c r="J66" i="6"/>
  <c r="J61" i="6"/>
  <c r="J65" i="6"/>
  <c r="J58" i="6"/>
  <c r="J59" i="6"/>
  <c r="J60" i="6"/>
  <c r="J62" i="6"/>
  <c r="J63" i="6"/>
  <c r="J64" i="6"/>
  <c r="N17" i="18"/>
  <c r="V17" i="18" s="1"/>
  <c r="J40" i="6"/>
  <c r="J41" i="6"/>
  <c r="AG11" i="18"/>
  <c r="BI52" i="18"/>
  <c r="BI54" i="18"/>
  <c r="AG18" i="18"/>
  <c r="AG15" i="18"/>
  <c r="BI53" i="18"/>
  <c r="Y21" i="18"/>
  <c r="AA34" i="18"/>
  <c r="V24" i="20"/>
  <c r="G76" i="7"/>
  <c r="F76" i="7"/>
  <c r="I64" i="7"/>
  <c r="I58" i="7"/>
  <c r="I61" i="7"/>
  <c r="I65" i="7"/>
  <c r="I62" i="7"/>
  <c r="I66" i="7"/>
  <c r="I59" i="7"/>
  <c r="I63" i="7"/>
  <c r="I60" i="7"/>
  <c r="I24" i="7"/>
  <c r="I21" i="7"/>
  <c r="I22" i="7"/>
  <c r="I23" i="7"/>
  <c r="L30" i="7"/>
  <c r="L27" i="7"/>
  <c r="L28" i="7"/>
  <c r="L25" i="7"/>
  <c r="L29" i="7"/>
  <c r="L26" i="7"/>
  <c r="T20" i="20"/>
  <c r="J54" i="7"/>
  <c r="J51" i="7"/>
  <c r="J55" i="7"/>
  <c r="J52" i="7"/>
  <c r="J57" i="7"/>
  <c r="J56" i="7"/>
  <c r="J53" i="7"/>
  <c r="I44" i="7"/>
  <c r="I45" i="7"/>
  <c r="I42" i="7"/>
  <c r="I46" i="7"/>
  <c r="I43" i="7"/>
  <c r="H44" i="7"/>
  <c r="H45" i="7"/>
  <c r="H42" i="7"/>
  <c r="H46" i="7"/>
  <c r="H43" i="7"/>
  <c r="I54" i="7"/>
  <c r="I51" i="7"/>
  <c r="I55" i="7"/>
  <c r="I52" i="7"/>
  <c r="I56" i="7"/>
  <c r="I57" i="7"/>
  <c r="I53" i="7"/>
  <c r="T8" i="20"/>
  <c r="J8" i="7"/>
  <c r="J11" i="7"/>
  <c r="J12" i="7"/>
  <c r="J10" i="7"/>
  <c r="J9" i="7"/>
  <c r="J13" i="7"/>
  <c r="T21" i="20"/>
  <c r="J61" i="7"/>
  <c r="J58" i="7"/>
  <c r="J64" i="7"/>
  <c r="J65" i="7"/>
  <c r="J62" i="7"/>
  <c r="J59" i="7"/>
  <c r="J66" i="7"/>
  <c r="J60" i="7"/>
  <c r="J63" i="7"/>
  <c r="H24" i="7"/>
  <c r="H21" i="7"/>
  <c r="H22" i="7"/>
  <c r="H23" i="7"/>
  <c r="U24" i="20"/>
  <c r="L10" i="7"/>
  <c r="L11" i="7"/>
  <c r="L8" i="7"/>
  <c r="L12" i="7"/>
  <c r="L13" i="7"/>
  <c r="L9" i="7"/>
  <c r="T11" i="20"/>
  <c r="J21" i="7"/>
  <c r="J24" i="7"/>
  <c r="J22" i="7"/>
  <c r="J23" i="7"/>
  <c r="L24" i="7"/>
  <c r="L21" i="7"/>
  <c r="L22" i="7"/>
  <c r="L23" i="7"/>
  <c r="T17" i="20"/>
  <c r="J41" i="7"/>
  <c r="J40" i="7"/>
  <c r="L64" i="7"/>
  <c r="L61" i="7"/>
  <c r="L58" i="7"/>
  <c r="L65" i="7"/>
  <c r="L62" i="7"/>
  <c r="L59" i="7"/>
  <c r="L60" i="7"/>
  <c r="L66" i="7"/>
  <c r="L63" i="7"/>
  <c r="T13" i="20"/>
  <c r="J31" i="7"/>
  <c r="J32" i="7"/>
  <c r="J33" i="7"/>
  <c r="H8" i="7"/>
  <c r="H11" i="7"/>
  <c r="H12" i="7"/>
  <c r="H9" i="7"/>
  <c r="H13" i="7"/>
  <c r="H10" i="7"/>
  <c r="L31" i="7"/>
  <c r="L33" i="7"/>
  <c r="L32" i="7"/>
  <c r="H36" i="7"/>
  <c r="H37" i="7"/>
  <c r="I68" i="7"/>
  <c r="I69" i="7"/>
  <c r="I70" i="7"/>
  <c r="I67" i="7"/>
  <c r="L44" i="7"/>
  <c r="L45" i="7"/>
  <c r="L43" i="7"/>
  <c r="L42" i="7"/>
  <c r="L46" i="7"/>
  <c r="Q24" i="20"/>
  <c r="H28" i="7"/>
  <c r="H25" i="7"/>
  <c r="H29" i="7"/>
  <c r="H26" i="7"/>
  <c r="H27" i="7"/>
  <c r="H30" i="7"/>
  <c r="I28" i="7"/>
  <c r="I25" i="7"/>
  <c r="I26" i="7"/>
  <c r="I29" i="7"/>
  <c r="I30" i="7"/>
  <c r="I27" i="7"/>
  <c r="T22" i="20"/>
  <c r="J68" i="7"/>
  <c r="J70" i="7"/>
  <c r="J67" i="7"/>
  <c r="J69" i="7"/>
  <c r="R24" i="20"/>
  <c r="I11" i="7"/>
  <c r="I8" i="7"/>
  <c r="I12" i="7"/>
  <c r="I9" i="7"/>
  <c r="I13" i="7"/>
  <c r="I10" i="7"/>
  <c r="W24" i="20"/>
  <c r="AP11" i="20" s="1"/>
  <c r="AU11" i="20" s="1"/>
  <c r="T19" i="20"/>
  <c r="J47" i="7"/>
  <c r="J48" i="7"/>
  <c r="J49" i="7"/>
  <c r="J50" i="7"/>
  <c r="L40" i="7"/>
  <c r="L41" i="7"/>
  <c r="H31" i="7"/>
  <c r="H32" i="7"/>
  <c r="H33" i="7"/>
  <c r="H48" i="7"/>
  <c r="H49" i="7"/>
  <c r="H50" i="7"/>
  <c r="H47" i="7"/>
  <c r="H41" i="7"/>
  <c r="H40" i="7"/>
  <c r="H19" i="7"/>
  <c r="H20" i="7"/>
  <c r="I38" i="7"/>
  <c r="I39" i="7"/>
  <c r="H68" i="7"/>
  <c r="H69" i="7"/>
  <c r="H67" i="7"/>
  <c r="H70" i="7"/>
  <c r="I31" i="7"/>
  <c r="I32" i="7"/>
  <c r="I33" i="7"/>
  <c r="I41" i="7"/>
  <c r="I40" i="7"/>
  <c r="T15" i="20"/>
  <c r="J37" i="7"/>
  <c r="J36" i="7"/>
  <c r="L20" i="7"/>
  <c r="L19" i="7"/>
  <c r="T16" i="20"/>
  <c r="J38" i="7"/>
  <c r="J39" i="7"/>
  <c r="H34" i="7"/>
  <c r="H35" i="7"/>
  <c r="I48" i="7"/>
  <c r="I47" i="7"/>
  <c r="I49" i="7"/>
  <c r="I50" i="7"/>
  <c r="K7" i="7"/>
  <c r="K5" i="7"/>
  <c r="K6" i="7"/>
  <c r="L67" i="7"/>
  <c r="L68" i="7"/>
  <c r="L69" i="7"/>
  <c r="L70" i="7"/>
  <c r="I36" i="7"/>
  <c r="I37" i="7"/>
  <c r="L38" i="7"/>
  <c r="L39" i="7"/>
  <c r="H64" i="7"/>
  <c r="H65" i="7"/>
  <c r="H61" i="7"/>
  <c r="H58" i="7"/>
  <c r="H62" i="7"/>
  <c r="H59" i="7"/>
  <c r="H66" i="7"/>
  <c r="H63" i="7"/>
  <c r="H60" i="7"/>
  <c r="T10" i="20"/>
  <c r="J20" i="7"/>
  <c r="J19" i="7"/>
  <c r="H74" i="7"/>
  <c r="H71" i="7"/>
  <c r="H75" i="7"/>
  <c r="H73" i="7"/>
  <c r="H72" i="7"/>
  <c r="I34" i="7"/>
  <c r="I35" i="7"/>
  <c r="H54" i="7"/>
  <c r="H51" i="7"/>
  <c r="H55" i="7"/>
  <c r="H52" i="7"/>
  <c r="H57" i="7"/>
  <c r="H56" i="7"/>
  <c r="H53" i="7"/>
  <c r="H38" i="7"/>
  <c r="H39" i="7"/>
  <c r="L37" i="7"/>
  <c r="L36" i="7"/>
  <c r="T23" i="20"/>
  <c r="J74" i="7"/>
  <c r="J71" i="7"/>
  <c r="J72" i="7"/>
  <c r="J75" i="7"/>
  <c r="J73" i="7"/>
  <c r="L50" i="7"/>
  <c r="L47" i="7"/>
  <c r="L48" i="7"/>
  <c r="L49" i="7"/>
  <c r="I74" i="7"/>
  <c r="I71" i="7"/>
  <c r="I75" i="7"/>
  <c r="I72" i="7"/>
  <c r="I73" i="7"/>
  <c r="I19" i="7"/>
  <c r="I20" i="7"/>
  <c r="L14" i="7"/>
  <c r="L17" i="7"/>
  <c r="L18" i="7"/>
  <c r="L15" i="7"/>
  <c r="L16" i="7"/>
  <c r="I14" i="7"/>
  <c r="I18" i="7"/>
  <c r="I15" i="7"/>
  <c r="I16" i="7"/>
  <c r="I17" i="7"/>
  <c r="T9" i="20"/>
  <c r="J17" i="7"/>
  <c r="J18" i="7"/>
  <c r="J14" i="7"/>
  <c r="J15" i="7"/>
  <c r="J16" i="7"/>
  <c r="L34" i="7"/>
  <c r="L35" i="7"/>
  <c r="L74" i="7"/>
  <c r="L71" i="7"/>
  <c r="L75" i="7"/>
  <c r="L72" i="7"/>
  <c r="L73" i="7"/>
  <c r="T14" i="20"/>
  <c r="J34" i="7"/>
  <c r="J35" i="7"/>
  <c r="T12" i="20"/>
  <c r="J27" i="7"/>
  <c r="J28" i="7"/>
  <c r="J25" i="7"/>
  <c r="J30" i="7"/>
  <c r="J29" i="7"/>
  <c r="J26" i="7"/>
  <c r="T18" i="20"/>
  <c r="J44" i="7"/>
  <c r="J45" i="7"/>
  <c r="J42" i="7"/>
  <c r="J46" i="7"/>
  <c r="J43" i="7"/>
  <c r="L54" i="7"/>
  <c r="L57" i="7"/>
  <c r="L51" i="7"/>
  <c r="L55" i="7"/>
  <c r="L52" i="7"/>
  <c r="L53" i="7"/>
  <c r="L56" i="7"/>
  <c r="H14" i="7"/>
  <c r="H18" i="7"/>
  <c r="H15" i="7"/>
  <c r="H16" i="7"/>
  <c r="H17" i="7"/>
  <c r="L5" i="3"/>
  <c r="W9" i="3" s="1"/>
  <c r="K76" i="3"/>
  <c r="Q24" i="13"/>
  <c r="R24" i="13" s="1"/>
  <c r="S24" i="13" s="1"/>
  <c r="F76" i="2"/>
  <c r="G65" i="2"/>
  <c r="G60" i="2"/>
  <c r="G61" i="2"/>
  <c r="G58" i="2"/>
  <c r="G62" i="2"/>
  <c r="G66" i="2"/>
  <c r="G64" i="2"/>
  <c r="G59" i="2"/>
  <c r="G63" i="2"/>
  <c r="G21" i="2"/>
  <c r="G22" i="2"/>
  <c r="G23" i="2"/>
  <c r="G24" i="2"/>
  <c r="G31" i="2"/>
  <c r="G32" i="2"/>
  <c r="G33" i="2"/>
  <c r="V24" i="13"/>
  <c r="W13" i="13" s="1"/>
  <c r="G28" i="2"/>
  <c r="G29" i="2"/>
  <c r="G26" i="2"/>
  <c r="G30" i="2"/>
  <c r="G27" i="2"/>
  <c r="G25" i="2"/>
  <c r="BE5" i="23"/>
  <c r="BE42" i="23"/>
  <c r="BE34" i="23"/>
  <c r="BE21" i="23"/>
  <c r="V18" i="18"/>
  <c r="AD18" i="18" s="1"/>
  <c r="S25" i="15"/>
  <c r="AC9" i="15"/>
  <c r="AF9" i="15" s="1"/>
  <c r="AD23" i="18"/>
  <c r="AC8" i="15"/>
  <c r="AH8" i="15" s="1"/>
  <c r="AC7" i="15"/>
  <c r="AH7" i="15" s="1"/>
  <c r="AD8" i="18"/>
  <c r="AA12" i="15"/>
  <c r="AF8" i="15"/>
  <c r="V10" i="18"/>
  <c r="AB12" i="15"/>
  <c r="AD15" i="18"/>
  <c r="V7" i="18"/>
  <c r="AF11" i="15"/>
  <c r="AE11" i="15"/>
  <c r="AI11" i="15"/>
  <c r="AH11" i="15"/>
  <c r="AG11" i="15"/>
  <c r="V16" i="18"/>
  <c r="V11" i="18"/>
  <c r="L14" i="3"/>
  <c r="W6" i="3" s="1"/>
  <c r="AF18" i="18"/>
  <c r="BH54" i="18"/>
  <c r="AF14" i="18"/>
  <c r="BH53" i="18"/>
  <c r="R25" i="22"/>
  <c r="P7" i="18"/>
  <c r="AC7" i="22"/>
  <c r="AC12" i="22" s="1"/>
  <c r="AB12" i="22"/>
  <c r="AD7" i="22"/>
  <c r="AD12" i="22" s="1"/>
  <c r="AE7" i="22"/>
  <c r="AF7" i="22"/>
  <c r="AF12" i="22" s="1"/>
  <c r="AG7" i="22"/>
  <c r="AG12" i="22" s="1"/>
  <c r="BH52" i="18"/>
  <c r="AF11" i="18"/>
  <c r="AF21" i="18"/>
  <c r="BH55" i="18"/>
  <c r="P7" i="21"/>
  <c r="O24" i="21"/>
  <c r="N7" i="21"/>
  <c r="AO33" i="18"/>
  <c r="AA18" i="18"/>
  <c r="AA22" i="18"/>
  <c r="AO34" i="18"/>
  <c r="AA14" i="18"/>
  <c r="AO32" i="18"/>
  <c r="S24" i="20"/>
  <c r="X24" i="20"/>
  <c r="S24" i="18"/>
  <c r="Z24" i="20"/>
  <c r="AI7" i="18"/>
  <c r="BK51" i="18"/>
  <c r="AO30" i="18"/>
  <c r="AA12" i="18"/>
  <c r="AO31" i="18"/>
  <c r="AB12" i="19"/>
  <c r="AC12" i="19"/>
  <c r="R12" i="19"/>
  <c r="AF12" i="19" s="1"/>
  <c r="Q12" i="19"/>
  <c r="AE12" i="19" s="1"/>
  <c r="S12" i="19"/>
  <c r="AG12" i="19" s="1"/>
  <c r="T12" i="19"/>
  <c r="AH12" i="19" s="1"/>
  <c r="U12" i="19"/>
  <c r="AI12" i="19" s="1"/>
  <c r="V12" i="19"/>
  <c r="AJ12" i="19" s="1"/>
  <c r="AA12" i="19"/>
  <c r="Y12" i="19"/>
  <c r="AD12" i="19"/>
  <c r="X12" i="19"/>
  <c r="W12" i="19"/>
  <c r="AK12" i="19" s="1"/>
  <c r="Z12" i="19"/>
  <c r="Q10" i="19"/>
  <c r="AE10" i="19" s="1"/>
  <c r="R10" i="19"/>
  <c r="AF10" i="19" s="1"/>
  <c r="V10" i="19"/>
  <c r="AJ10" i="19" s="1"/>
  <c r="Y10" i="19"/>
  <c r="Z10" i="19"/>
  <c r="W10" i="19"/>
  <c r="AK10" i="19" s="1"/>
  <c r="X10" i="19"/>
  <c r="AA10" i="19"/>
  <c r="AB10" i="19"/>
  <c r="AC10" i="19"/>
  <c r="AD10" i="19"/>
  <c r="U10" i="19"/>
  <c r="AI10" i="19" s="1"/>
  <c r="T10" i="19"/>
  <c r="AH10" i="19" s="1"/>
  <c r="S10" i="19"/>
  <c r="AG10" i="19" s="1"/>
  <c r="T19" i="19"/>
  <c r="AH19" i="19" s="1"/>
  <c r="U19" i="19"/>
  <c r="AI19" i="19" s="1"/>
  <c r="Z19" i="19"/>
  <c r="AA19" i="19"/>
  <c r="AC19" i="19"/>
  <c r="AB19" i="19"/>
  <c r="AD19" i="19"/>
  <c r="X19" i="19"/>
  <c r="R19" i="19"/>
  <c r="AF19" i="19" s="1"/>
  <c r="W19" i="19"/>
  <c r="AK19" i="19" s="1"/>
  <c r="S19" i="19"/>
  <c r="AG19" i="19" s="1"/>
  <c r="V19" i="19"/>
  <c r="AJ19" i="19" s="1"/>
  <c r="Q19" i="19"/>
  <c r="AE19" i="19" s="1"/>
  <c r="Y19" i="19"/>
  <c r="T7" i="19"/>
  <c r="U7" i="19"/>
  <c r="V7" i="19"/>
  <c r="W7" i="19"/>
  <c r="X7" i="19"/>
  <c r="Y7" i="19"/>
  <c r="Z7" i="19"/>
  <c r="AA7" i="19"/>
  <c r="AB7" i="19"/>
  <c r="S7" i="19"/>
  <c r="AC7" i="19"/>
  <c r="AD7" i="19"/>
  <c r="R7" i="19"/>
  <c r="Q7" i="19"/>
  <c r="AP7" i="19"/>
  <c r="P25" i="19"/>
  <c r="R11" i="19"/>
  <c r="AF11" i="19" s="1"/>
  <c r="V11" i="19"/>
  <c r="AJ11" i="19" s="1"/>
  <c r="S11" i="19"/>
  <c r="AG11" i="19" s="1"/>
  <c r="U11" i="19"/>
  <c r="AI11" i="19" s="1"/>
  <c r="T11" i="19"/>
  <c r="AH11" i="19" s="1"/>
  <c r="W11" i="19"/>
  <c r="AK11" i="19" s="1"/>
  <c r="X11" i="19"/>
  <c r="Y11" i="19"/>
  <c r="Z11" i="19"/>
  <c r="Q11" i="19"/>
  <c r="AE11" i="19" s="1"/>
  <c r="AA11" i="19"/>
  <c r="AB11" i="19"/>
  <c r="AC11" i="19"/>
  <c r="AD11" i="19"/>
  <c r="AQ7" i="19"/>
  <c r="R16" i="19"/>
  <c r="AF16" i="19" s="1"/>
  <c r="U16" i="19"/>
  <c r="AI16" i="19" s="1"/>
  <c r="S16" i="19"/>
  <c r="AG16" i="19" s="1"/>
  <c r="V16" i="19"/>
  <c r="AJ16" i="19" s="1"/>
  <c r="T16" i="19"/>
  <c r="AH16" i="19" s="1"/>
  <c r="W16" i="19"/>
  <c r="AK16" i="19" s="1"/>
  <c r="X16" i="19"/>
  <c r="Y16" i="19"/>
  <c r="AB16" i="19"/>
  <c r="AC16" i="19"/>
  <c r="AD16" i="19"/>
  <c r="Q16" i="19"/>
  <c r="AE16" i="19" s="1"/>
  <c r="Z16" i="19"/>
  <c r="AA16" i="19"/>
  <c r="R21" i="19"/>
  <c r="AF21" i="19" s="1"/>
  <c r="S21" i="19"/>
  <c r="AG21" i="19" s="1"/>
  <c r="U21" i="19"/>
  <c r="AI21" i="19" s="1"/>
  <c r="AT7" i="19"/>
  <c r="T21" i="19"/>
  <c r="AH21" i="19" s="1"/>
  <c r="V21" i="19"/>
  <c r="AJ21" i="19" s="1"/>
  <c r="W21" i="19"/>
  <c r="AK21" i="19" s="1"/>
  <c r="X21" i="19"/>
  <c r="Y21" i="19"/>
  <c r="AB21" i="19"/>
  <c r="AA21" i="19"/>
  <c r="AC21" i="19"/>
  <c r="AD21" i="19"/>
  <c r="Q21" i="19"/>
  <c r="AE21" i="19" s="1"/>
  <c r="Z21" i="19"/>
  <c r="T9" i="19"/>
  <c r="AH9" i="19" s="1"/>
  <c r="U9" i="19"/>
  <c r="AI9" i="19" s="1"/>
  <c r="V9" i="19"/>
  <c r="AJ9" i="19" s="1"/>
  <c r="Z9" i="19"/>
  <c r="AA9" i="19"/>
  <c r="AC9" i="19"/>
  <c r="AD9" i="19"/>
  <c r="AB9" i="19"/>
  <c r="R9" i="19"/>
  <c r="AF9" i="19" s="1"/>
  <c r="X9" i="19"/>
  <c r="S9" i="19"/>
  <c r="AG9" i="19" s="1"/>
  <c r="Y9" i="19"/>
  <c r="W9" i="19"/>
  <c r="AK9" i="19" s="1"/>
  <c r="Q9" i="19"/>
  <c r="AE9" i="19" s="1"/>
  <c r="Q20" i="19"/>
  <c r="AE20" i="19" s="1"/>
  <c r="V20" i="19"/>
  <c r="AJ20" i="19" s="1"/>
  <c r="Y20" i="19"/>
  <c r="Z20" i="19"/>
  <c r="W20" i="19"/>
  <c r="AK20" i="19" s="1"/>
  <c r="X20" i="19"/>
  <c r="AA20" i="19"/>
  <c r="AB20" i="19"/>
  <c r="AC20" i="19"/>
  <c r="R20" i="19"/>
  <c r="AF20" i="19" s="1"/>
  <c r="S20" i="19"/>
  <c r="AG20" i="19" s="1"/>
  <c r="T20" i="19"/>
  <c r="AH20" i="19" s="1"/>
  <c r="U20" i="19"/>
  <c r="AI20" i="19" s="1"/>
  <c r="AD20" i="19"/>
  <c r="X13" i="19"/>
  <c r="Y13" i="19"/>
  <c r="AD13" i="19"/>
  <c r="Q13" i="19"/>
  <c r="AE13" i="19" s="1"/>
  <c r="R13" i="19"/>
  <c r="AF13" i="19" s="1"/>
  <c r="S13" i="19"/>
  <c r="AG13" i="19" s="1"/>
  <c r="W13" i="19"/>
  <c r="AK13" i="19" s="1"/>
  <c r="T13" i="19"/>
  <c r="AH13" i="19" s="1"/>
  <c r="V13" i="19"/>
  <c r="AJ13" i="19" s="1"/>
  <c r="U13" i="19"/>
  <c r="AI13" i="19" s="1"/>
  <c r="Z13" i="19"/>
  <c r="AA13" i="19"/>
  <c r="AB13" i="19"/>
  <c r="AC13" i="19"/>
  <c r="T14" i="19"/>
  <c r="AH14" i="19" s="1"/>
  <c r="U14" i="19"/>
  <c r="AI14" i="19" s="1"/>
  <c r="AR7" i="19"/>
  <c r="Z14" i="19"/>
  <c r="AC14" i="19"/>
  <c r="AA14" i="19"/>
  <c r="AD14" i="19"/>
  <c r="AB14" i="19"/>
  <c r="W14" i="19"/>
  <c r="AK14" i="19" s="1"/>
  <c r="X14" i="19"/>
  <c r="R14" i="19"/>
  <c r="AF14" i="19" s="1"/>
  <c r="V14" i="19"/>
  <c r="AJ14" i="19" s="1"/>
  <c r="Q14" i="19"/>
  <c r="AE14" i="19" s="1"/>
  <c r="S14" i="19"/>
  <c r="AG14" i="19" s="1"/>
  <c r="Y14" i="19"/>
  <c r="X8" i="19"/>
  <c r="Y8" i="19"/>
  <c r="Z8" i="19"/>
  <c r="AD8" i="19"/>
  <c r="Q8" i="19"/>
  <c r="AE8" i="19" s="1"/>
  <c r="R8" i="19"/>
  <c r="AF8" i="19" s="1"/>
  <c r="AA8" i="19"/>
  <c r="AB8" i="19"/>
  <c r="AC8" i="19"/>
  <c r="V8" i="19"/>
  <c r="AJ8" i="19" s="1"/>
  <c r="W8" i="19"/>
  <c r="AK8" i="19" s="1"/>
  <c r="S8" i="19"/>
  <c r="AG8" i="19" s="1"/>
  <c r="T8" i="19"/>
  <c r="AH8" i="19" s="1"/>
  <c r="U8" i="19"/>
  <c r="AI8" i="19" s="1"/>
  <c r="X18" i="19"/>
  <c r="Y18" i="19"/>
  <c r="AD18" i="19"/>
  <c r="AS7" i="19"/>
  <c r="Q18" i="19"/>
  <c r="AE18" i="19" s="1"/>
  <c r="T18" i="19"/>
  <c r="AH18" i="19" s="1"/>
  <c r="U18" i="19"/>
  <c r="AI18" i="19" s="1"/>
  <c r="W18" i="19"/>
  <c r="AK18" i="19" s="1"/>
  <c r="S18" i="19"/>
  <c r="AG18" i="19" s="1"/>
  <c r="V18" i="19"/>
  <c r="AJ18" i="19" s="1"/>
  <c r="Z18" i="19"/>
  <c r="AA18" i="19"/>
  <c r="AB18" i="19"/>
  <c r="AC18" i="19"/>
  <c r="R18" i="19"/>
  <c r="AF18" i="19" s="1"/>
  <c r="X23" i="19"/>
  <c r="Y23" i="19"/>
  <c r="AD23" i="19"/>
  <c r="Q23" i="19"/>
  <c r="AE23" i="19" s="1"/>
  <c r="S23" i="19"/>
  <c r="AG23" i="19" s="1"/>
  <c r="T23" i="19"/>
  <c r="AH23" i="19" s="1"/>
  <c r="U23" i="19"/>
  <c r="AI23" i="19" s="1"/>
  <c r="V23" i="19"/>
  <c r="AJ23" i="19" s="1"/>
  <c r="W23" i="19"/>
  <c r="AK23" i="19" s="1"/>
  <c r="R23" i="19"/>
  <c r="AF23" i="19" s="1"/>
  <c r="Z23" i="19"/>
  <c r="AA23" i="19"/>
  <c r="AB23" i="19"/>
  <c r="AC23" i="19"/>
  <c r="AB22" i="19"/>
  <c r="AC22" i="19"/>
  <c r="Q22" i="19"/>
  <c r="AE22" i="19" s="1"/>
  <c r="R22" i="19"/>
  <c r="AF22" i="19" s="1"/>
  <c r="S22" i="19"/>
  <c r="AG22" i="19" s="1"/>
  <c r="T22" i="19"/>
  <c r="AH22" i="19" s="1"/>
  <c r="U22" i="19"/>
  <c r="AI22" i="19" s="1"/>
  <c r="Z22" i="19"/>
  <c r="AA22" i="19"/>
  <c r="AD22" i="19"/>
  <c r="V22" i="19"/>
  <c r="AJ22" i="19" s="1"/>
  <c r="W22" i="19"/>
  <c r="AK22" i="19" s="1"/>
  <c r="X22" i="19"/>
  <c r="Y22" i="19"/>
  <c r="AB17" i="19"/>
  <c r="AC17" i="19"/>
  <c r="Q17" i="19"/>
  <c r="AE17" i="19" s="1"/>
  <c r="R17" i="19"/>
  <c r="AF17" i="19" s="1"/>
  <c r="S17" i="19"/>
  <c r="AG17" i="19" s="1"/>
  <c r="T17" i="19"/>
  <c r="AH17" i="19" s="1"/>
  <c r="U17" i="19"/>
  <c r="AI17" i="19" s="1"/>
  <c r="AA17" i="19"/>
  <c r="AD17" i="19"/>
  <c r="V17" i="19"/>
  <c r="AJ17" i="19" s="1"/>
  <c r="W17" i="19"/>
  <c r="AK17" i="19" s="1"/>
  <c r="X17" i="19"/>
  <c r="Y17" i="19"/>
  <c r="Z17" i="19"/>
  <c r="Z7" i="16"/>
  <c r="P26" i="16"/>
  <c r="Q7" i="16"/>
  <c r="P25" i="16"/>
  <c r="R7" i="16"/>
  <c r="R25" i="16" s="1"/>
  <c r="S7" i="16"/>
  <c r="S25" i="16" s="1"/>
  <c r="AI10" i="15"/>
  <c r="AE10" i="15"/>
  <c r="AF10" i="15"/>
  <c r="AG10" i="15"/>
  <c r="AH10" i="15"/>
  <c r="Y12" i="15"/>
  <c r="K33" i="14"/>
  <c r="U30" i="14" s="1"/>
  <c r="J76" i="6" l="1"/>
  <c r="AP12" i="20"/>
  <c r="AU12" i="20" s="1"/>
  <c r="X32" i="18"/>
  <c r="X31" i="18"/>
  <c r="V22" i="18"/>
  <c r="BF55" i="18" s="1"/>
  <c r="V20" i="18"/>
  <c r="N24" i="18"/>
  <c r="X30" i="18"/>
  <c r="BF54" i="18"/>
  <c r="AH9" i="15"/>
  <c r="AE9" i="15"/>
  <c r="AI8" i="15"/>
  <c r="AG9" i="15"/>
  <c r="AF7" i="15"/>
  <c r="AG8" i="15"/>
  <c r="AE8" i="15"/>
  <c r="AI9" i="15"/>
  <c r="AE7" i="15"/>
  <c r="AE12" i="15" s="1"/>
  <c r="AG21" i="18"/>
  <c r="BI55" i="18"/>
  <c r="I76" i="7"/>
  <c r="H76" i="7"/>
  <c r="L76" i="7"/>
  <c r="J76" i="7"/>
  <c r="K57" i="7"/>
  <c r="K51" i="7"/>
  <c r="K54" i="7"/>
  <c r="K55" i="7"/>
  <c r="K52" i="7"/>
  <c r="K56" i="7"/>
  <c r="K53" i="7"/>
  <c r="K17" i="7"/>
  <c r="K14" i="7"/>
  <c r="K18" i="7"/>
  <c r="K15" i="7"/>
  <c r="K16" i="7"/>
  <c r="K27" i="7"/>
  <c r="K28" i="7"/>
  <c r="K25" i="7"/>
  <c r="K29" i="7"/>
  <c r="K26" i="7"/>
  <c r="K30" i="7"/>
  <c r="K31" i="7"/>
  <c r="K32" i="7"/>
  <c r="K33" i="7"/>
  <c r="K37" i="7"/>
  <c r="K36" i="7"/>
  <c r="K24" i="7"/>
  <c r="K21" i="7"/>
  <c r="K22" i="7"/>
  <c r="K23" i="7"/>
  <c r="K64" i="7"/>
  <c r="K61" i="7"/>
  <c r="K58" i="7"/>
  <c r="K65" i="7"/>
  <c r="K60" i="7"/>
  <c r="K59" i="7"/>
  <c r="K63" i="7"/>
  <c r="K62" i="7"/>
  <c r="K66" i="7"/>
  <c r="K38" i="7"/>
  <c r="K39" i="7"/>
  <c r="K67" i="7"/>
  <c r="K68" i="7"/>
  <c r="K69" i="7"/>
  <c r="K70" i="7"/>
  <c r="K34" i="7"/>
  <c r="K35" i="7"/>
  <c r="K71" i="7"/>
  <c r="K74" i="7"/>
  <c r="K75" i="7"/>
  <c r="K72" i="7"/>
  <c r="K73" i="7"/>
  <c r="K19" i="7"/>
  <c r="K20" i="7"/>
  <c r="K11" i="7"/>
  <c r="K8" i="7"/>
  <c r="K9" i="7"/>
  <c r="K10" i="7"/>
  <c r="K12" i="7"/>
  <c r="K13" i="7"/>
  <c r="T24" i="20"/>
  <c r="K47" i="7"/>
  <c r="K48" i="7"/>
  <c r="K49" i="7"/>
  <c r="K50" i="7"/>
  <c r="K41" i="7"/>
  <c r="K40" i="7"/>
  <c r="K44" i="7"/>
  <c r="K45" i="7"/>
  <c r="K42" i="7"/>
  <c r="K46" i="7"/>
  <c r="K43" i="7"/>
  <c r="M5" i="3"/>
  <c r="L76" i="3"/>
  <c r="W18" i="13"/>
  <c r="U44" i="13"/>
  <c r="U45" i="13"/>
  <c r="W17" i="13"/>
  <c r="H40" i="2" s="1"/>
  <c r="W22" i="13"/>
  <c r="W7" i="13"/>
  <c r="H7" i="2" s="1"/>
  <c r="W15" i="13"/>
  <c r="H36" i="2" s="1"/>
  <c r="U46" i="13"/>
  <c r="X46" i="13" s="1"/>
  <c r="AH10" i="13" s="1"/>
  <c r="W21" i="13"/>
  <c r="U47" i="13"/>
  <c r="U48" i="13"/>
  <c r="W48" i="13" s="1"/>
  <c r="AG12" i="13" s="1"/>
  <c r="W8" i="13"/>
  <c r="H9" i="2" s="1"/>
  <c r="W9" i="13"/>
  <c r="W12" i="13"/>
  <c r="H28" i="2" s="1"/>
  <c r="W16" i="13"/>
  <c r="H39" i="2" s="1"/>
  <c r="W10" i="13"/>
  <c r="H19" i="2" s="1"/>
  <c r="U43" i="13"/>
  <c r="V43" i="13" s="1"/>
  <c r="W14" i="13"/>
  <c r="H35" i="2" s="1"/>
  <c r="U49" i="13"/>
  <c r="V49" i="13" s="1"/>
  <c r="W11" i="13"/>
  <c r="H24" i="2" s="1"/>
  <c r="W20" i="13"/>
  <c r="H56" i="2" s="1"/>
  <c r="W19" i="13"/>
  <c r="W23" i="13"/>
  <c r="G76" i="2"/>
  <c r="H69" i="2"/>
  <c r="H70" i="2"/>
  <c r="H67" i="2"/>
  <c r="H68" i="2"/>
  <c r="H59" i="2"/>
  <c r="H63" i="2"/>
  <c r="H60" i="2"/>
  <c r="H61" i="2"/>
  <c r="H65" i="2"/>
  <c r="H58" i="2"/>
  <c r="H62" i="2"/>
  <c r="H66" i="2"/>
  <c r="H64" i="2"/>
  <c r="H22" i="2"/>
  <c r="H21" i="2"/>
  <c r="H55" i="2"/>
  <c r="H52" i="2"/>
  <c r="H72" i="2"/>
  <c r="H73" i="2"/>
  <c r="H74" i="2"/>
  <c r="H71" i="2"/>
  <c r="H75" i="2"/>
  <c r="H50" i="2"/>
  <c r="H47" i="2"/>
  <c r="H48" i="2"/>
  <c r="H49" i="2"/>
  <c r="H41" i="2"/>
  <c r="H33" i="2"/>
  <c r="H31" i="2"/>
  <c r="H32" i="2"/>
  <c r="H44" i="2"/>
  <c r="H45" i="2"/>
  <c r="H42" i="2"/>
  <c r="H46" i="2"/>
  <c r="H43" i="2"/>
  <c r="W8" i="3"/>
  <c r="M14" i="3"/>
  <c r="W5" i="3"/>
  <c r="AF12" i="15"/>
  <c r="AH12" i="15"/>
  <c r="AG7" i="15"/>
  <c r="AG12" i="15" s="1"/>
  <c r="AI7" i="15"/>
  <c r="AI12" i="15" s="1"/>
  <c r="AD20" i="18"/>
  <c r="X35" i="18"/>
  <c r="AD11" i="18"/>
  <c r="BF52" i="18"/>
  <c r="AD17" i="18"/>
  <c r="AD16" i="18"/>
  <c r="AD7" i="18"/>
  <c r="BF51" i="18"/>
  <c r="AD22" i="18"/>
  <c r="AD14" i="18"/>
  <c r="BF53" i="18"/>
  <c r="AD10" i="18"/>
  <c r="X7" i="18"/>
  <c r="P24" i="18"/>
  <c r="Z30" i="18"/>
  <c r="Z35" i="18" s="1"/>
  <c r="AE10" i="22"/>
  <c r="AE9" i="22"/>
  <c r="AE8" i="22"/>
  <c r="AE11" i="22"/>
  <c r="P24" i="21"/>
  <c r="R7" i="21" s="1"/>
  <c r="AI12" i="18"/>
  <c r="BK52" i="18"/>
  <c r="AO35" i="18"/>
  <c r="AI14" i="18"/>
  <c r="BK53" i="18"/>
  <c r="AI22" i="18"/>
  <c r="BK55" i="18"/>
  <c r="BK54" i="18"/>
  <c r="AI18" i="18"/>
  <c r="BG60" i="19"/>
  <c r="BG70" i="19"/>
  <c r="BG61" i="19"/>
  <c r="BG71" i="19"/>
  <c r="BG68" i="19"/>
  <c r="BG62" i="19"/>
  <c r="BG72" i="19"/>
  <c r="BG69" i="19"/>
  <c r="BG73" i="19"/>
  <c r="BG74" i="19"/>
  <c r="BG75" i="19"/>
  <c r="BO97" i="19"/>
  <c r="BG66" i="19"/>
  <c r="BG63" i="19"/>
  <c r="BO88" i="19"/>
  <c r="BG67" i="19"/>
  <c r="BO83" i="19"/>
  <c r="BG64" i="19"/>
  <c r="BG65" i="19"/>
  <c r="BO95" i="19"/>
  <c r="BO94" i="19"/>
  <c r="BO92" i="19"/>
  <c r="BO89" i="19"/>
  <c r="BO90" i="19"/>
  <c r="BO93" i="19"/>
  <c r="BO96" i="19"/>
  <c r="BO82" i="19"/>
  <c r="BO87" i="19"/>
  <c r="BO91" i="19"/>
  <c r="BO84" i="19"/>
  <c r="BO86" i="19"/>
  <c r="BO85" i="19"/>
  <c r="BD67" i="19"/>
  <c r="BD68" i="19"/>
  <c r="AU7" i="19"/>
  <c r="BD65" i="19"/>
  <c r="BD75" i="19"/>
  <c r="BD62" i="19"/>
  <c r="BD72" i="19"/>
  <c r="BD69" i="19"/>
  <c r="BL95" i="19"/>
  <c r="BD74" i="19"/>
  <c r="BD63" i="19"/>
  <c r="BD73" i="19"/>
  <c r="BD64" i="19"/>
  <c r="BD70" i="19"/>
  <c r="BI70" i="19" s="1"/>
  <c r="BD60" i="19"/>
  <c r="BD66" i="19"/>
  <c r="BD61" i="19"/>
  <c r="BD71" i="19"/>
  <c r="BL83" i="19"/>
  <c r="BL90" i="19"/>
  <c r="BL94" i="19"/>
  <c r="BL96" i="19"/>
  <c r="BL93" i="19"/>
  <c r="BL92" i="19"/>
  <c r="BL87" i="19"/>
  <c r="BL86" i="19"/>
  <c r="BL97" i="19"/>
  <c r="BL84" i="19"/>
  <c r="BL85" i="19"/>
  <c r="BL89" i="19"/>
  <c r="BL88" i="19"/>
  <c r="BL91" i="19"/>
  <c r="BL82" i="19"/>
  <c r="AE7" i="19"/>
  <c r="AE27" i="19" s="1"/>
  <c r="Q27" i="19"/>
  <c r="AF7" i="19"/>
  <c r="AF27" i="19" s="1"/>
  <c r="R27" i="19"/>
  <c r="AD27" i="19"/>
  <c r="BE67" i="19"/>
  <c r="BE68" i="19"/>
  <c r="BE65" i="19"/>
  <c r="BE75" i="19"/>
  <c r="BE69" i="19"/>
  <c r="BE74" i="19"/>
  <c r="BE71" i="19"/>
  <c r="BE66" i="19"/>
  <c r="BE63" i="19"/>
  <c r="BM88" i="19"/>
  <c r="BM95" i="19"/>
  <c r="BE62" i="19"/>
  <c r="BE61" i="19"/>
  <c r="BE64" i="19"/>
  <c r="BE70" i="19"/>
  <c r="BM94" i="19"/>
  <c r="BE72" i="19"/>
  <c r="BE60" i="19"/>
  <c r="BE73" i="19"/>
  <c r="BM92" i="19"/>
  <c r="BM87" i="19"/>
  <c r="BM90" i="19"/>
  <c r="BM96" i="19"/>
  <c r="BM97" i="19"/>
  <c r="BM93" i="19"/>
  <c r="BM85" i="19"/>
  <c r="BM83" i="19"/>
  <c r="BM89" i="19"/>
  <c r="BM82" i="19"/>
  <c r="BM86" i="19"/>
  <c r="BM91" i="19"/>
  <c r="BM84" i="19"/>
  <c r="AC27" i="19"/>
  <c r="AG7" i="19"/>
  <c r="AG27" i="19" s="1"/>
  <c r="S27" i="19"/>
  <c r="BH63" i="19"/>
  <c r="BH73" i="19"/>
  <c r="BH64" i="19"/>
  <c r="BH74" i="19"/>
  <c r="BH68" i="19"/>
  <c r="BH61" i="19"/>
  <c r="BH71" i="19"/>
  <c r="BH65" i="19"/>
  <c r="BH75" i="19"/>
  <c r="BH62" i="19"/>
  <c r="BH69" i="19"/>
  <c r="BP91" i="19"/>
  <c r="BH60" i="19"/>
  <c r="BP83" i="19"/>
  <c r="BP88" i="19"/>
  <c r="BP97" i="19"/>
  <c r="BH72" i="19"/>
  <c r="BH70" i="19"/>
  <c r="BH66" i="19"/>
  <c r="BP89" i="19"/>
  <c r="BH67" i="19"/>
  <c r="BP93" i="19"/>
  <c r="BP85" i="19"/>
  <c r="BP95" i="19"/>
  <c r="BP92" i="19"/>
  <c r="BP94" i="19"/>
  <c r="BP82" i="19"/>
  <c r="BP86" i="19"/>
  <c r="BP90" i="19"/>
  <c r="BP87" i="19"/>
  <c r="BP96" i="19"/>
  <c r="BP84" i="19"/>
  <c r="AB27" i="19"/>
  <c r="AA27" i="19"/>
  <c r="Z27" i="19"/>
  <c r="Y27" i="19"/>
  <c r="BF60" i="19"/>
  <c r="BF70" i="19"/>
  <c r="BF61" i="19"/>
  <c r="BF71" i="19"/>
  <c r="BF75" i="19"/>
  <c r="BF65" i="19"/>
  <c r="BF68" i="19"/>
  <c r="BF62" i="19"/>
  <c r="BF72" i="19"/>
  <c r="BN88" i="19"/>
  <c r="BF74" i="19"/>
  <c r="BF63" i="19"/>
  <c r="BN95" i="19"/>
  <c r="BF69" i="19"/>
  <c r="BF66" i="19"/>
  <c r="BF73" i="19"/>
  <c r="BN94" i="19"/>
  <c r="BN96" i="19"/>
  <c r="BF67" i="19"/>
  <c r="BF64" i="19"/>
  <c r="BN87" i="19"/>
  <c r="BN92" i="19"/>
  <c r="BN89" i="19"/>
  <c r="BN97" i="19"/>
  <c r="BN90" i="19"/>
  <c r="BN93" i="19"/>
  <c r="BN84" i="19"/>
  <c r="BN86" i="19"/>
  <c r="BN85" i="19"/>
  <c r="BN82" i="19"/>
  <c r="BN83" i="19"/>
  <c r="BN91" i="19"/>
  <c r="X27" i="19"/>
  <c r="W27" i="19"/>
  <c r="AK7" i="19"/>
  <c r="AK27" i="19" s="1"/>
  <c r="AJ7" i="19"/>
  <c r="AJ27" i="19" s="1"/>
  <c r="V27" i="19"/>
  <c r="AI7" i="19"/>
  <c r="AI27" i="19" s="1"/>
  <c r="U27" i="19"/>
  <c r="AH7" i="19"/>
  <c r="AH27" i="19" s="1"/>
  <c r="T27" i="19"/>
  <c r="T7" i="16"/>
  <c r="Q25" i="16"/>
  <c r="AA7" i="16"/>
  <c r="AA12" i="16" s="1"/>
  <c r="Z12" i="16"/>
  <c r="AB7" i="16" s="1"/>
  <c r="AC12" i="15"/>
  <c r="S9" i="14"/>
  <c r="R9" i="18" s="1"/>
  <c r="Z9" i="18" s="1"/>
  <c r="AH9" i="18" s="1"/>
  <c r="S14" i="14"/>
  <c r="R14" i="18" s="1"/>
  <c r="S19" i="14"/>
  <c r="R19" i="18" s="1"/>
  <c r="Z19" i="18" s="1"/>
  <c r="AH19" i="18" s="1"/>
  <c r="S22" i="14"/>
  <c r="R22" i="18" s="1"/>
  <c r="Z22" i="18" s="1"/>
  <c r="AH22" i="18" s="1"/>
  <c r="S13" i="14"/>
  <c r="R13" i="18" s="1"/>
  <c r="Z13" i="18" s="1"/>
  <c r="AH13" i="18" s="1"/>
  <c r="S7" i="14"/>
  <c r="R7" i="18" s="1"/>
  <c r="S23" i="14"/>
  <c r="R23" i="18" s="1"/>
  <c r="Z23" i="18" s="1"/>
  <c r="AH23" i="18" s="1"/>
  <c r="S10" i="14"/>
  <c r="R10" i="18" s="1"/>
  <c r="Z10" i="18" s="1"/>
  <c r="AH10" i="18" s="1"/>
  <c r="S15" i="14"/>
  <c r="R15" i="18" s="1"/>
  <c r="Z15" i="18" s="1"/>
  <c r="AH15" i="18" s="1"/>
  <c r="S20" i="14"/>
  <c r="R20" i="18" s="1"/>
  <c r="Z20" i="18" s="1"/>
  <c r="AH20" i="18" s="1"/>
  <c r="S17" i="14"/>
  <c r="R17" i="18" s="1"/>
  <c r="Z17" i="18" s="1"/>
  <c r="AH17" i="18" s="1"/>
  <c r="S18" i="14"/>
  <c r="R18" i="18" s="1"/>
  <c r="S11" i="14"/>
  <c r="R11" i="18" s="1"/>
  <c r="S16" i="14"/>
  <c r="R16" i="18" s="1"/>
  <c r="Z16" i="18" s="1"/>
  <c r="AH16" i="18" s="1"/>
  <c r="S21" i="14"/>
  <c r="R21" i="18" s="1"/>
  <c r="S12" i="14"/>
  <c r="R12" i="18" s="1"/>
  <c r="Z12" i="18" s="1"/>
  <c r="AH12" i="18" s="1"/>
  <c r="S8" i="14"/>
  <c r="R8" i="18" s="1"/>
  <c r="Z8" i="18" s="1"/>
  <c r="AH8" i="18" s="1"/>
  <c r="V47" i="13"/>
  <c r="AE11" i="13"/>
  <c r="W47" i="13"/>
  <c r="AG11" i="13" s="1"/>
  <c r="X47" i="13"/>
  <c r="AH11" i="13" s="1"/>
  <c r="V48" i="13"/>
  <c r="AE9" i="13"/>
  <c r="V45" i="13"/>
  <c r="W45" i="13"/>
  <c r="AG9" i="13" s="1"/>
  <c r="X45" i="13"/>
  <c r="AH9" i="13" s="1"/>
  <c r="AE8" i="13"/>
  <c r="V44" i="13"/>
  <c r="W44" i="13"/>
  <c r="AG8" i="13" s="1"/>
  <c r="X44" i="13"/>
  <c r="AH8" i="13" s="1"/>
  <c r="W46" i="13"/>
  <c r="AG10" i="13" s="1"/>
  <c r="AE10" i="13"/>
  <c r="BE15" i="23" l="1"/>
  <c r="BE61" i="23"/>
  <c r="AE12" i="22"/>
  <c r="BI72" i="19"/>
  <c r="BQ86" i="19"/>
  <c r="BQ87" i="19"/>
  <c r="BI75" i="19"/>
  <c r="BI62" i="19"/>
  <c r="BQ92" i="19"/>
  <c r="BI65" i="19"/>
  <c r="BQ85" i="19"/>
  <c r="BH76" i="19"/>
  <c r="T25" i="16"/>
  <c r="W7" i="16" s="1"/>
  <c r="W6" i="16"/>
  <c r="Q7" i="18"/>
  <c r="K76" i="7"/>
  <c r="AI24" i="18"/>
  <c r="BK56" i="18"/>
  <c r="M76" i="3"/>
  <c r="W24" i="13"/>
  <c r="H23" i="2"/>
  <c r="H38" i="2"/>
  <c r="V46" i="13"/>
  <c r="W43" i="13"/>
  <c r="H6" i="2"/>
  <c r="AE7" i="13"/>
  <c r="H5" i="2"/>
  <c r="X43" i="13"/>
  <c r="H34" i="2"/>
  <c r="U50" i="13"/>
  <c r="AE14" i="13" s="1"/>
  <c r="H10" i="2"/>
  <c r="H17" i="2"/>
  <c r="H13" i="2"/>
  <c r="H16" i="2"/>
  <c r="H11" i="2"/>
  <c r="H15" i="2"/>
  <c r="H18" i="2"/>
  <c r="H14" i="2"/>
  <c r="H8" i="2"/>
  <c r="H54" i="2"/>
  <c r="H12" i="2"/>
  <c r="H20" i="2"/>
  <c r="H25" i="2"/>
  <c r="H27" i="2"/>
  <c r="H37" i="2"/>
  <c r="H57" i="2"/>
  <c r="H30" i="2"/>
  <c r="X48" i="13"/>
  <c r="AH12" i="13" s="1"/>
  <c r="AE12" i="13"/>
  <c r="H53" i="2"/>
  <c r="H29" i="2"/>
  <c r="H51" i="2"/>
  <c r="X49" i="13"/>
  <c r="AH13" i="13" s="1"/>
  <c r="AE13" i="13"/>
  <c r="H26" i="2"/>
  <c r="W49" i="13"/>
  <c r="AG13" i="13" s="1"/>
  <c r="CP9" i="23"/>
  <c r="W10" i="3"/>
  <c r="X5" i="3" s="1"/>
  <c r="BF56" i="18"/>
  <c r="AD24" i="18"/>
  <c r="AN30" i="18"/>
  <c r="Z7" i="18"/>
  <c r="R24" i="18"/>
  <c r="Z21" i="18"/>
  <c r="AN34" i="18"/>
  <c r="Z14" i="18"/>
  <c r="AN32" i="18"/>
  <c r="Z11" i="18"/>
  <c r="AN31" i="18"/>
  <c r="Z18" i="18"/>
  <c r="AN33" i="18"/>
  <c r="AF7" i="18"/>
  <c r="AF24" i="18" s="1"/>
  <c r="BH51" i="18"/>
  <c r="BH56" i="18" s="1"/>
  <c r="S7" i="21"/>
  <c r="T7" i="21"/>
  <c r="V7" i="21"/>
  <c r="U7" i="21"/>
  <c r="W7" i="21"/>
  <c r="X7" i="21"/>
  <c r="R19" i="21"/>
  <c r="R23" i="21"/>
  <c r="R20" i="21"/>
  <c r="R22" i="21"/>
  <c r="R21" i="21"/>
  <c r="R18" i="21"/>
  <c r="R10" i="21"/>
  <c r="R9" i="21"/>
  <c r="R12" i="21"/>
  <c r="R11" i="21"/>
  <c r="R8" i="21"/>
  <c r="R17" i="21"/>
  <c r="R16" i="21"/>
  <c r="R13" i="21"/>
  <c r="R15" i="21"/>
  <c r="R14" i="21"/>
  <c r="AC10" i="17"/>
  <c r="BQ95" i="19"/>
  <c r="BG76" i="19"/>
  <c r="BQ84" i="19"/>
  <c r="BI69" i="19"/>
  <c r="BM98" i="19"/>
  <c r="BQ97" i="19"/>
  <c r="BQ93" i="19"/>
  <c r="BQ96" i="19"/>
  <c r="BI68" i="19"/>
  <c r="BQ94" i="19"/>
  <c r="BI67" i="19"/>
  <c r="BP98" i="19"/>
  <c r="BQ90" i="19"/>
  <c r="BN98" i="19"/>
  <c r="BQ83" i="19"/>
  <c r="BI71" i="19"/>
  <c r="BI61" i="19"/>
  <c r="BE76" i="19"/>
  <c r="BI66" i="19"/>
  <c r="BD76" i="19"/>
  <c r="BI60" i="19"/>
  <c r="BO98" i="19"/>
  <c r="BL98" i="19"/>
  <c r="BQ82" i="19"/>
  <c r="BI64" i="19"/>
  <c r="BQ91" i="19"/>
  <c r="BI73" i="19"/>
  <c r="BQ88" i="19"/>
  <c r="BI63" i="19"/>
  <c r="BF76" i="19"/>
  <c r="BQ89" i="19"/>
  <c r="BI74" i="19"/>
  <c r="AB11" i="16"/>
  <c r="AB9" i="16"/>
  <c r="AB10" i="16"/>
  <c r="AB8" i="16"/>
  <c r="AD11" i="15"/>
  <c r="AD8" i="15"/>
  <c r="AB13" i="15"/>
  <c r="AA13" i="15"/>
  <c r="Z13" i="15"/>
  <c r="AD7" i="15"/>
  <c r="AD10" i="15"/>
  <c r="AD9" i="15"/>
  <c r="Y13" i="15"/>
  <c r="S25" i="14"/>
  <c r="S27" i="14"/>
  <c r="AF12" i="13"/>
  <c r="AF10" i="13"/>
  <c r="Y46" i="13"/>
  <c r="AI10" i="13" s="1"/>
  <c r="AH7" i="13"/>
  <c r="AG7" i="13"/>
  <c r="AF11" i="13"/>
  <c r="Y47" i="13"/>
  <c r="AI11" i="13" s="1"/>
  <c r="AF7" i="13"/>
  <c r="Y43" i="13"/>
  <c r="V50" i="13"/>
  <c r="AF14" i="13" s="1"/>
  <c r="AF8" i="13"/>
  <c r="Y44" i="13"/>
  <c r="AI8" i="13" s="1"/>
  <c r="AF13" i="13"/>
  <c r="Y45" i="13"/>
  <c r="AI9" i="13" s="1"/>
  <c r="AF9" i="13"/>
  <c r="AG81" i="23" l="1"/>
  <c r="CP7" i="23"/>
  <c r="BE17" i="23"/>
  <c r="AG82" i="23"/>
  <c r="AG83" i="23"/>
  <c r="AG84" i="23"/>
  <c r="W11" i="16"/>
  <c r="AB12" i="16"/>
  <c r="Y7" i="18"/>
  <c r="AA30" i="18"/>
  <c r="AA35" i="18" s="1"/>
  <c r="Q24" i="18"/>
  <c r="BE67" i="23"/>
  <c r="DN10" i="23" s="1"/>
  <c r="CP10" i="23"/>
  <c r="H76" i="2"/>
  <c r="Y48" i="13"/>
  <c r="AI12" i="13" s="1"/>
  <c r="Y49" i="13"/>
  <c r="AI13" i="13" s="1"/>
  <c r="W50" i="13"/>
  <c r="AG14" i="13" s="1"/>
  <c r="X50" i="13"/>
  <c r="AH14" i="13" s="1"/>
  <c r="BE38" i="23"/>
  <c r="CP8" i="23"/>
  <c r="CP6" i="23"/>
  <c r="BE14" i="23"/>
  <c r="BE52" i="23"/>
  <c r="BE40" i="23"/>
  <c r="X9" i="3"/>
  <c r="X7" i="3"/>
  <c r="X6" i="3"/>
  <c r="X8" i="3"/>
  <c r="BJ54" i="18"/>
  <c r="AH18" i="18"/>
  <c r="BJ51" i="18"/>
  <c r="AH7" i="18"/>
  <c r="AH11" i="18"/>
  <c r="BJ52" i="18"/>
  <c r="AH14" i="18"/>
  <c r="BJ53" i="18"/>
  <c r="AH21" i="18"/>
  <c r="BJ55" i="18"/>
  <c r="AN35" i="18"/>
  <c r="S16" i="21"/>
  <c r="T16" i="21"/>
  <c r="V16" i="21"/>
  <c r="W16" i="21"/>
  <c r="U16" i="21"/>
  <c r="X16" i="21"/>
  <c r="S17" i="21"/>
  <c r="T17" i="21"/>
  <c r="V17" i="21"/>
  <c r="W17" i="21"/>
  <c r="X17" i="21"/>
  <c r="U17" i="21"/>
  <c r="T8" i="21"/>
  <c r="S8" i="21"/>
  <c r="V8" i="21"/>
  <c r="W8" i="21"/>
  <c r="X8" i="21"/>
  <c r="U8" i="21"/>
  <c r="T11" i="21"/>
  <c r="S11" i="21"/>
  <c r="V11" i="21"/>
  <c r="W11" i="21"/>
  <c r="U11" i="21"/>
  <c r="X11" i="21"/>
  <c r="S12" i="21"/>
  <c r="T12" i="21"/>
  <c r="V12" i="21"/>
  <c r="X12" i="21"/>
  <c r="U12" i="21"/>
  <c r="W12" i="21"/>
  <c r="T9" i="21"/>
  <c r="S9" i="21"/>
  <c r="V9" i="21"/>
  <c r="W9" i="21"/>
  <c r="X9" i="21"/>
  <c r="U9" i="21"/>
  <c r="T10" i="21"/>
  <c r="S10" i="21"/>
  <c r="V10" i="21"/>
  <c r="W10" i="21"/>
  <c r="U10" i="21"/>
  <c r="X10" i="21"/>
  <c r="S18" i="21"/>
  <c r="T18" i="21"/>
  <c r="V18" i="21"/>
  <c r="U18" i="21"/>
  <c r="X18" i="21"/>
  <c r="W18" i="21"/>
  <c r="S21" i="21"/>
  <c r="T21" i="21"/>
  <c r="V21" i="21"/>
  <c r="W21" i="21"/>
  <c r="U21" i="21"/>
  <c r="X21" i="21"/>
  <c r="S22" i="21"/>
  <c r="T22" i="21"/>
  <c r="V22" i="21"/>
  <c r="W22" i="21"/>
  <c r="X22" i="21"/>
  <c r="U22" i="21"/>
  <c r="S20" i="21"/>
  <c r="T20" i="21"/>
  <c r="V20" i="21"/>
  <c r="U20" i="21"/>
  <c r="X20" i="21"/>
  <c r="W20" i="21"/>
  <c r="T23" i="21"/>
  <c r="S23" i="21"/>
  <c r="V23" i="21"/>
  <c r="X23" i="21"/>
  <c r="U23" i="21"/>
  <c r="W23" i="21"/>
  <c r="S19" i="21"/>
  <c r="T19" i="21"/>
  <c r="V19" i="21"/>
  <c r="X19" i="21"/>
  <c r="U19" i="21"/>
  <c r="W19" i="21"/>
  <c r="S14" i="21"/>
  <c r="T14" i="21"/>
  <c r="V14" i="21"/>
  <c r="U14" i="21"/>
  <c r="W14" i="21"/>
  <c r="X14" i="21"/>
  <c r="T15" i="21"/>
  <c r="S15" i="21"/>
  <c r="V15" i="21"/>
  <c r="W15" i="21"/>
  <c r="X15" i="21"/>
  <c r="U15" i="21"/>
  <c r="AA7" i="21"/>
  <c r="S13" i="21"/>
  <c r="T13" i="21"/>
  <c r="V13" i="21"/>
  <c r="U13" i="21"/>
  <c r="W13" i="21"/>
  <c r="X13" i="21"/>
  <c r="R24" i="21"/>
  <c r="AE10" i="17"/>
  <c r="AY63" i="17" s="1"/>
  <c r="AD10" i="17"/>
  <c r="AX63" i="17" s="1"/>
  <c r="BQ98" i="19"/>
  <c r="AK54" i="17" s="1"/>
  <c r="BI76" i="19"/>
  <c r="BH77" i="19" s="1"/>
  <c r="BG77" i="19"/>
  <c r="AI7" i="13"/>
  <c r="Y50" i="13"/>
  <c r="BO99" i="19" l="1"/>
  <c r="BL99" i="19"/>
  <c r="AG86" i="23"/>
  <c r="AO86" i="23"/>
  <c r="DN7" i="23"/>
  <c r="BE81" i="23"/>
  <c r="BE86" i="23" s="1"/>
  <c r="DN6" i="23"/>
  <c r="BE84" i="23"/>
  <c r="BE82" i="23"/>
  <c r="BE83" i="23"/>
  <c r="CP11" i="23"/>
  <c r="AP8" i="21"/>
  <c r="S24" i="21"/>
  <c r="X24" i="21"/>
  <c r="AR8" i="21"/>
  <c r="AQ9" i="21"/>
  <c r="V24" i="21"/>
  <c r="AQ8" i="21"/>
  <c r="AS8" i="21" s="1"/>
  <c r="W24" i="21"/>
  <c r="BD77" i="19"/>
  <c r="AG7" i="18"/>
  <c r="AG24" i="18" s="1"/>
  <c r="BI51" i="18"/>
  <c r="BI56" i="18" s="1"/>
  <c r="DN9" i="23"/>
  <c r="DN8" i="23"/>
  <c r="X10" i="3"/>
  <c r="AH24" i="18"/>
  <c r="AC11" i="17"/>
  <c r="BJ56" i="18"/>
  <c r="AA22" i="21"/>
  <c r="AB22" i="21" s="1"/>
  <c r="AA15" i="21"/>
  <c r="AB15" i="21" s="1"/>
  <c r="AP10" i="21"/>
  <c r="AA14" i="21"/>
  <c r="AB14" i="21" s="1"/>
  <c r="AA10" i="21"/>
  <c r="AB10" i="21" s="1"/>
  <c r="AR12" i="21"/>
  <c r="AQ12" i="21"/>
  <c r="AP12" i="21"/>
  <c r="AS12" i="21" s="1"/>
  <c r="AA21" i="21"/>
  <c r="AB21" i="21" s="1"/>
  <c r="AA23" i="21"/>
  <c r="AB23" i="21" s="1"/>
  <c r="AA17" i="21"/>
  <c r="AB17" i="21" s="1"/>
  <c r="AR9" i="21"/>
  <c r="AB7" i="21"/>
  <c r="AA8" i="21"/>
  <c r="AB8" i="21" s="1"/>
  <c r="AR10" i="21"/>
  <c r="AP9" i="21"/>
  <c r="AA11" i="21"/>
  <c r="AB11" i="21" s="1"/>
  <c r="AA19" i="21"/>
  <c r="AB19" i="21" s="1"/>
  <c r="AA9" i="21"/>
  <c r="AB9" i="21" s="1"/>
  <c r="T24" i="21"/>
  <c r="AR11" i="21"/>
  <c r="AQ10" i="21"/>
  <c r="AA12" i="21"/>
  <c r="AB12" i="21" s="1"/>
  <c r="AQ11" i="21"/>
  <c r="AP11" i="21"/>
  <c r="AS11" i="21" s="1"/>
  <c r="AA18" i="21"/>
  <c r="AB18" i="21" s="1"/>
  <c r="U24" i="21"/>
  <c r="AA13" i="21"/>
  <c r="AB13" i="21" s="1"/>
  <c r="AA20" i="21"/>
  <c r="AB20" i="21" s="1"/>
  <c r="AA16" i="21"/>
  <c r="AB16" i="21" s="1"/>
  <c r="BM99" i="19"/>
  <c r="BF77" i="19"/>
  <c r="BP99" i="19"/>
  <c r="BN99" i="19"/>
  <c r="BE77" i="19"/>
  <c r="AI14" i="13"/>
  <c r="X9" i="13"/>
  <c r="X7" i="13"/>
  <c r="X11" i="13"/>
  <c r="X8" i="13"/>
  <c r="X12" i="13"/>
  <c r="X23" i="13"/>
  <c r="X15" i="13"/>
  <c r="X13" i="13"/>
  <c r="X16" i="13"/>
  <c r="X20" i="13"/>
  <c r="X21" i="13"/>
  <c r="X19" i="13"/>
  <c r="X14" i="13"/>
  <c r="X10" i="13"/>
  <c r="X17" i="13"/>
  <c r="X18" i="13"/>
  <c r="X22" i="13"/>
  <c r="X24" i="13"/>
  <c r="D72" i="1"/>
  <c r="D10" i="1"/>
  <c r="D17" i="1"/>
  <c r="D13" i="1"/>
  <c r="D7" i="1"/>
  <c r="D12" i="1"/>
  <c r="D15" i="1"/>
  <c r="D19" i="1"/>
  <c r="D5" i="1"/>
  <c r="D14" i="1"/>
  <c r="D20" i="1"/>
  <c r="D6" i="1"/>
  <c r="D18" i="1"/>
  <c r="D8" i="1"/>
  <c r="D11" i="1"/>
  <c r="D9" i="1"/>
  <c r="D31" i="1"/>
  <c r="D25" i="1"/>
  <c r="D26" i="1"/>
  <c r="D27" i="1"/>
  <c r="D28" i="1"/>
  <c r="D29" i="1"/>
  <c r="D21" i="1"/>
  <c r="D32" i="1"/>
  <c r="D22" i="1"/>
  <c r="D23" i="1"/>
  <c r="D24" i="1"/>
  <c r="D33" i="1"/>
  <c r="D30" i="1"/>
  <c r="D34" i="1"/>
  <c r="D36" i="1"/>
  <c r="D40" i="1"/>
  <c r="D41" i="1"/>
  <c r="D38" i="1"/>
  <c r="D39" i="1"/>
  <c r="D37" i="1"/>
  <c r="D35" i="1"/>
  <c r="D42" i="1"/>
  <c r="D43" i="1"/>
  <c r="D47" i="1"/>
  <c r="D51" i="1"/>
  <c r="D52" i="1"/>
  <c r="D44" i="1"/>
  <c r="D48" i="1"/>
  <c r="D53" i="1"/>
  <c r="D54" i="1"/>
  <c r="D55" i="1"/>
  <c r="D56" i="1"/>
  <c r="D49" i="1"/>
  <c r="D45" i="1"/>
  <c r="D57" i="1"/>
  <c r="D50" i="1"/>
  <c r="D46" i="1"/>
  <c r="D67" i="1"/>
  <c r="D71" i="1"/>
  <c r="D58" i="1"/>
  <c r="D59" i="1"/>
  <c r="D60" i="1"/>
  <c r="D68" i="1"/>
  <c r="D61" i="1"/>
  <c r="D62" i="1"/>
  <c r="D73" i="1"/>
  <c r="D69" i="1"/>
  <c r="D70" i="1"/>
  <c r="D63" i="1"/>
  <c r="D64" i="1"/>
  <c r="D74" i="1"/>
  <c r="D75" i="1"/>
  <c r="D65" i="1"/>
  <c r="D66" i="1"/>
  <c r="D16" i="1"/>
  <c r="DN11" i="23" l="1"/>
  <c r="AR13" i="21"/>
  <c r="AQ13" i="21"/>
  <c r="I44" i="2"/>
  <c r="M18" i="18"/>
  <c r="I45" i="2"/>
  <c r="I42" i="2"/>
  <c r="I46" i="2"/>
  <c r="I43" i="2"/>
  <c r="M10" i="18"/>
  <c r="I20" i="2"/>
  <c r="I19" i="2"/>
  <c r="I54" i="2"/>
  <c r="I51" i="2"/>
  <c r="I55" i="2"/>
  <c r="M20" i="18"/>
  <c r="I52" i="2"/>
  <c r="I56" i="2"/>
  <c r="I53" i="2"/>
  <c r="I57" i="2"/>
  <c r="I39" i="2"/>
  <c r="I38" i="2"/>
  <c r="M16" i="18"/>
  <c r="I8" i="2"/>
  <c r="I12" i="2"/>
  <c r="I9" i="2"/>
  <c r="I11" i="2"/>
  <c r="I13" i="2"/>
  <c r="I10" i="2"/>
  <c r="M8" i="18"/>
  <c r="I35" i="2"/>
  <c r="M14" i="18"/>
  <c r="I34" i="2"/>
  <c r="I21" i="2"/>
  <c r="M11" i="18"/>
  <c r="I22" i="2"/>
  <c r="I23" i="2"/>
  <c r="I24" i="2"/>
  <c r="I50" i="2"/>
  <c r="M19" i="18"/>
  <c r="I48" i="2"/>
  <c r="I47" i="2"/>
  <c r="I49" i="2"/>
  <c r="I33" i="2"/>
  <c r="I31" i="2"/>
  <c r="M13" i="18"/>
  <c r="I32" i="2"/>
  <c r="I5" i="2"/>
  <c r="I6" i="2"/>
  <c r="M7" i="18"/>
  <c r="I7" i="2"/>
  <c r="I40" i="2"/>
  <c r="M17" i="18"/>
  <c r="I41" i="2"/>
  <c r="I59" i="2"/>
  <c r="I63" i="2"/>
  <c r="I60" i="2"/>
  <c r="I64" i="2"/>
  <c r="I61" i="2"/>
  <c r="I65" i="2"/>
  <c r="M21" i="18"/>
  <c r="I58" i="2"/>
  <c r="I62" i="2"/>
  <c r="I66" i="2"/>
  <c r="I36" i="2"/>
  <c r="I37" i="2"/>
  <c r="M15" i="18"/>
  <c r="I75" i="2"/>
  <c r="I72" i="2"/>
  <c r="I71" i="2"/>
  <c r="I74" i="2"/>
  <c r="M23" i="18"/>
  <c r="I73" i="2"/>
  <c r="I28" i="2"/>
  <c r="I29" i="2"/>
  <c r="I26" i="2"/>
  <c r="I30" i="2"/>
  <c r="I27" i="2"/>
  <c r="I25" i="2"/>
  <c r="M12" i="18"/>
  <c r="M9" i="18"/>
  <c r="I14" i="2"/>
  <c r="I18" i="2"/>
  <c r="I15" i="2"/>
  <c r="I16" i="2"/>
  <c r="I17" i="2"/>
  <c r="I69" i="2"/>
  <c r="I70" i="2"/>
  <c r="I67" i="2"/>
  <c r="M22" i="18"/>
  <c r="I68" i="2"/>
  <c r="AE11" i="17"/>
  <c r="AY62" i="17" s="1"/>
  <c r="AD11" i="17"/>
  <c r="AX62" i="17" s="1"/>
  <c r="O20" i="18"/>
  <c r="W20" i="18" s="1"/>
  <c r="AE20" i="18" s="1"/>
  <c r="AC20" i="21"/>
  <c r="AD20" i="21"/>
  <c r="AC17" i="21"/>
  <c r="AD17" i="21"/>
  <c r="O17" i="18"/>
  <c r="W17" i="18" s="1"/>
  <c r="AE17" i="18" s="1"/>
  <c r="AD12" i="21"/>
  <c r="O12" i="18"/>
  <c r="W12" i="18" s="1"/>
  <c r="AE12" i="18" s="1"/>
  <c r="AC12" i="21"/>
  <c r="O8" i="18"/>
  <c r="W8" i="18" s="1"/>
  <c r="AE8" i="18" s="1"/>
  <c r="AC8" i="21"/>
  <c r="AD8" i="21"/>
  <c r="AA24" i="21"/>
  <c r="O16" i="18"/>
  <c r="W16" i="18" s="1"/>
  <c r="AE16" i="18" s="1"/>
  <c r="AC16" i="21"/>
  <c r="AD16" i="21"/>
  <c r="AC13" i="21"/>
  <c r="AD13" i="21"/>
  <c r="O13" i="18"/>
  <c r="W13" i="18" s="1"/>
  <c r="AE13" i="18" s="1"/>
  <c r="AD18" i="21"/>
  <c r="O18" i="18"/>
  <c r="AC18" i="21"/>
  <c r="O14" i="18"/>
  <c r="AD14" i="21"/>
  <c r="AC14" i="21"/>
  <c r="AD19" i="21"/>
  <c r="O19" i="18"/>
  <c r="W19" i="18" s="1"/>
  <c r="AE19" i="18" s="1"/>
  <c r="AC19" i="21"/>
  <c r="AB24" i="21"/>
  <c r="AD7" i="21"/>
  <c r="AC7" i="21"/>
  <c r="O7" i="18"/>
  <c r="AD21" i="21"/>
  <c r="AC21" i="21"/>
  <c r="O21" i="18"/>
  <c r="AS10" i="21"/>
  <c r="AC11" i="21"/>
  <c r="AD11" i="21"/>
  <c r="O11" i="18"/>
  <c r="AC23" i="21"/>
  <c r="AD23" i="21"/>
  <c r="O23" i="18"/>
  <c r="W23" i="18" s="1"/>
  <c r="AE23" i="18" s="1"/>
  <c r="O10" i="18"/>
  <c r="W10" i="18" s="1"/>
  <c r="AE10" i="18" s="1"/>
  <c r="AC10" i="21"/>
  <c r="AD10" i="21"/>
  <c r="AC15" i="21"/>
  <c r="AD15" i="21"/>
  <c r="O15" i="18"/>
  <c r="W15" i="18" s="1"/>
  <c r="AE15" i="18" s="1"/>
  <c r="AC9" i="21"/>
  <c r="AD9" i="21"/>
  <c r="O9" i="18"/>
  <c r="W9" i="18" s="1"/>
  <c r="AE9" i="18" s="1"/>
  <c r="AP13" i="21"/>
  <c r="AC22" i="21"/>
  <c r="AD22" i="21"/>
  <c r="O22" i="18"/>
  <c r="W22" i="18" s="1"/>
  <c r="AE22" i="18" s="1"/>
  <c r="AS9" i="21"/>
  <c r="Z22" i="13"/>
  <c r="Y22" i="13"/>
  <c r="Y18" i="13"/>
  <c r="Z18" i="13"/>
  <c r="Z17" i="13"/>
  <c r="Y17" i="13"/>
  <c r="Z10" i="13"/>
  <c r="Y10" i="13"/>
  <c r="Y14" i="13"/>
  <c r="Z14" i="13"/>
  <c r="Y19" i="13"/>
  <c r="Z19" i="13"/>
  <c r="Y21" i="13"/>
  <c r="Z21" i="13"/>
  <c r="Y20" i="13"/>
  <c r="Z20" i="13"/>
  <c r="Y16" i="13"/>
  <c r="Z16" i="13"/>
  <c r="Y13" i="13"/>
  <c r="Z13" i="13"/>
  <c r="Y15" i="13"/>
  <c r="Z15" i="13"/>
  <c r="Y23" i="13"/>
  <c r="Z23" i="13"/>
  <c r="Y12" i="13"/>
  <c r="Z12" i="13"/>
  <c r="Y8" i="13"/>
  <c r="Z8" i="13"/>
  <c r="Z11" i="13"/>
  <c r="Y11" i="13"/>
  <c r="X25" i="13"/>
  <c r="Y7" i="13"/>
  <c r="Z7" i="13"/>
  <c r="Y9" i="13"/>
  <c r="Z9" i="13"/>
  <c r="O6" i="2" l="1"/>
  <c r="U16" i="18"/>
  <c r="T16" i="18"/>
  <c r="U9" i="18"/>
  <c r="T9" i="18"/>
  <c r="U12" i="18"/>
  <c r="T12" i="18"/>
  <c r="K24" i="2"/>
  <c r="K21" i="2"/>
  <c r="K22" i="2"/>
  <c r="K23" i="2"/>
  <c r="U19" i="18"/>
  <c r="T19" i="18"/>
  <c r="J20" i="2"/>
  <c r="J19" i="2"/>
  <c r="J40" i="2"/>
  <c r="J41" i="2"/>
  <c r="K25" i="2"/>
  <c r="K28" i="2"/>
  <c r="K29" i="2"/>
  <c r="K26" i="2"/>
  <c r="K30" i="2"/>
  <c r="K27" i="2"/>
  <c r="K43" i="2"/>
  <c r="K45" i="2"/>
  <c r="K44" i="2"/>
  <c r="K42" i="2"/>
  <c r="K46" i="2"/>
  <c r="J25" i="2"/>
  <c r="J28" i="2"/>
  <c r="J26" i="2"/>
  <c r="J29" i="2"/>
  <c r="J30" i="2"/>
  <c r="J27" i="2"/>
  <c r="K75" i="2"/>
  <c r="K72" i="2"/>
  <c r="K71" i="2"/>
  <c r="K73" i="2"/>
  <c r="K74" i="2"/>
  <c r="U21" i="18"/>
  <c r="W34" i="18"/>
  <c r="T21" i="18"/>
  <c r="J44" i="2"/>
  <c r="J45" i="2"/>
  <c r="J42" i="2"/>
  <c r="J46" i="2"/>
  <c r="J43" i="2"/>
  <c r="K20" i="2"/>
  <c r="K19" i="2"/>
  <c r="K36" i="2"/>
  <c r="K37" i="2"/>
  <c r="J72" i="2"/>
  <c r="J75" i="2"/>
  <c r="J71" i="2"/>
  <c r="J73" i="2"/>
  <c r="J74" i="2"/>
  <c r="O8" i="2"/>
  <c r="J50" i="2"/>
  <c r="J48" i="2"/>
  <c r="J47" i="2"/>
  <c r="J49" i="2"/>
  <c r="O9" i="2"/>
  <c r="U15" i="18"/>
  <c r="T15" i="18"/>
  <c r="U17" i="18"/>
  <c r="T17" i="18"/>
  <c r="K33" i="2"/>
  <c r="K31" i="2"/>
  <c r="K32" i="2"/>
  <c r="W32" i="18"/>
  <c r="AP32" i="18" s="1"/>
  <c r="U14" i="18"/>
  <c r="T14" i="18"/>
  <c r="J33" i="2"/>
  <c r="J31" i="2"/>
  <c r="J32" i="2"/>
  <c r="J39" i="2"/>
  <c r="J38" i="2"/>
  <c r="J34" i="2"/>
  <c r="J35" i="2"/>
  <c r="K8" i="2"/>
  <c r="K11" i="2"/>
  <c r="K12" i="2"/>
  <c r="K9" i="2"/>
  <c r="K13" i="2"/>
  <c r="K10" i="2"/>
  <c r="J8" i="2"/>
  <c r="J12" i="2"/>
  <c r="J11" i="2"/>
  <c r="J9" i="2"/>
  <c r="J13" i="2"/>
  <c r="J10" i="2"/>
  <c r="K70" i="2"/>
  <c r="K67" i="2"/>
  <c r="K69" i="2"/>
  <c r="K68" i="2"/>
  <c r="U22" i="18"/>
  <c r="T22" i="18"/>
  <c r="U8" i="18"/>
  <c r="T8" i="18"/>
  <c r="O5" i="2"/>
  <c r="O10" i="2" s="1"/>
  <c r="I76" i="2"/>
  <c r="J14" i="2"/>
  <c r="J18" i="2"/>
  <c r="J15" i="2"/>
  <c r="J16" i="2"/>
  <c r="J17" i="2"/>
  <c r="U13" i="18"/>
  <c r="T13" i="18"/>
  <c r="K40" i="2"/>
  <c r="K41" i="2"/>
  <c r="U20" i="18"/>
  <c r="T20" i="18"/>
  <c r="M24" i="18"/>
  <c r="U11" i="18"/>
  <c r="W31" i="18"/>
  <c r="AP31" i="18" s="1"/>
  <c r="T11" i="18"/>
  <c r="J36" i="2"/>
  <c r="J37" i="2"/>
  <c r="U23" i="18"/>
  <c r="T23" i="18"/>
  <c r="U7" i="18"/>
  <c r="W30" i="18"/>
  <c r="T7" i="18"/>
  <c r="K51" i="2"/>
  <c r="K55" i="2"/>
  <c r="K54" i="2"/>
  <c r="K52" i="2"/>
  <c r="K56" i="2"/>
  <c r="K53" i="2"/>
  <c r="K57" i="2"/>
  <c r="K5" i="2"/>
  <c r="K6" i="2"/>
  <c r="K7" i="2"/>
  <c r="U18" i="18"/>
  <c r="W33" i="18"/>
  <c r="AP33" i="18" s="1"/>
  <c r="T18" i="18"/>
  <c r="J24" i="2"/>
  <c r="J21" i="2"/>
  <c r="J22" i="2"/>
  <c r="J23" i="2"/>
  <c r="K34" i="2"/>
  <c r="K35" i="2"/>
  <c r="J69" i="2"/>
  <c r="J70" i="2"/>
  <c r="J67" i="2"/>
  <c r="J68" i="2"/>
  <c r="O7" i="2"/>
  <c r="K39" i="2"/>
  <c r="K38" i="2"/>
  <c r="U10" i="18"/>
  <c r="T10" i="18"/>
  <c r="K14" i="2"/>
  <c r="K18" i="2"/>
  <c r="K15" i="2"/>
  <c r="K16" i="2"/>
  <c r="K17" i="2"/>
  <c r="J54" i="2"/>
  <c r="J51" i="2"/>
  <c r="J55" i="2"/>
  <c r="J52" i="2"/>
  <c r="J56" i="2"/>
  <c r="J53" i="2"/>
  <c r="J57" i="2"/>
  <c r="K59" i="2"/>
  <c r="K63" i="2"/>
  <c r="K60" i="2"/>
  <c r="K64" i="2"/>
  <c r="K61" i="2"/>
  <c r="K65" i="2"/>
  <c r="K58" i="2"/>
  <c r="K62" i="2"/>
  <c r="K66" i="2"/>
  <c r="J59" i="2"/>
  <c r="J63" i="2"/>
  <c r="J60" i="2"/>
  <c r="J64" i="2"/>
  <c r="J61" i="2"/>
  <c r="J65" i="2"/>
  <c r="J58" i="2"/>
  <c r="J62" i="2"/>
  <c r="J66" i="2"/>
  <c r="J5" i="2"/>
  <c r="J6" i="2"/>
  <c r="J7" i="2"/>
  <c r="K47" i="2"/>
  <c r="K48" i="2"/>
  <c r="K49" i="2"/>
  <c r="K50" i="2"/>
  <c r="AS13" i="21"/>
  <c r="AT9" i="21" s="1"/>
  <c r="AC24" i="21"/>
  <c r="W11" i="18"/>
  <c r="Y31" i="18"/>
  <c r="AT10" i="21"/>
  <c r="W21" i="18"/>
  <c r="Y34" i="18"/>
  <c r="W7" i="18"/>
  <c r="O24" i="18"/>
  <c r="Y30" i="18"/>
  <c r="AD24" i="21"/>
  <c r="W14" i="18"/>
  <c r="Y32" i="18"/>
  <c r="W18" i="18"/>
  <c r="Y33" i="18"/>
  <c r="Z24" i="13"/>
  <c r="Y24" i="13"/>
  <c r="AP34" i="18" l="1"/>
  <c r="AC7" i="18"/>
  <c r="BE51" i="18"/>
  <c r="AB7" i="18"/>
  <c r="AC21" i="18"/>
  <c r="BE55" i="18"/>
  <c r="AB21" i="18"/>
  <c r="AC22" i="18"/>
  <c r="AJ22" i="18" s="1"/>
  <c r="AB22" i="18"/>
  <c r="AC19" i="18"/>
  <c r="AJ19" i="18" s="1"/>
  <c r="AB19" i="18"/>
  <c r="AC8" i="18"/>
  <c r="AJ8" i="18" s="1"/>
  <c r="AB8" i="18"/>
  <c r="AC18" i="18"/>
  <c r="AJ18" i="18" s="1"/>
  <c r="BE54" i="18"/>
  <c r="BL54" i="18" s="1"/>
  <c r="AB18" i="18"/>
  <c r="AC12" i="18"/>
  <c r="AJ12" i="18" s="1"/>
  <c r="AB12" i="18"/>
  <c r="AC23" i="18"/>
  <c r="AJ23" i="18" s="1"/>
  <c r="AB23" i="18"/>
  <c r="AC20" i="18"/>
  <c r="AJ20" i="18" s="1"/>
  <c r="AB20" i="18"/>
  <c r="AC13" i="18"/>
  <c r="AJ13" i="18" s="1"/>
  <c r="AB13" i="18"/>
  <c r="AC17" i="18"/>
  <c r="AJ17" i="18" s="1"/>
  <c r="AB17" i="18"/>
  <c r="AC11" i="18"/>
  <c r="BE52" i="18"/>
  <c r="AB11" i="18"/>
  <c r="K76" i="2"/>
  <c r="BE53" i="18"/>
  <c r="BL53" i="18" s="1"/>
  <c r="AC14" i="18"/>
  <c r="AJ14" i="18" s="1"/>
  <c r="AB14" i="18"/>
  <c r="AC10" i="18"/>
  <c r="AJ10" i="18" s="1"/>
  <c r="AB10" i="18"/>
  <c r="AB9" i="18"/>
  <c r="AC9" i="18"/>
  <c r="AJ9" i="18" s="1"/>
  <c r="AC15" i="18"/>
  <c r="AJ15" i="18" s="1"/>
  <c r="AB15" i="18"/>
  <c r="T24" i="18"/>
  <c r="J76" i="2"/>
  <c r="W35" i="18"/>
  <c r="BB47" i="18"/>
  <c r="AP30" i="18"/>
  <c r="AC16" i="18"/>
  <c r="AJ16" i="18" s="1"/>
  <c r="AB16" i="18"/>
  <c r="AE14" i="18"/>
  <c r="BG53" i="18"/>
  <c r="AE18" i="18"/>
  <c r="BG54" i="18"/>
  <c r="Y35" i="18"/>
  <c r="AE7" i="18"/>
  <c r="BG51" i="18"/>
  <c r="AE21" i="18"/>
  <c r="BG55" i="18"/>
  <c r="BG52" i="18"/>
  <c r="AE11" i="18"/>
  <c r="AL14" i="21"/>
  <c r="AO14" i="21"/>
  <c r="AM14" i="21"/>
  <c r="AI14" i="21"/>
  <c r="AK14" i="21"/>
  <c r="AN14" i="21"/>
  <c r="AJ14" i="21"/>
  <c r="AR14" i="21"/>
  <c r="AT8" i="21"/>
  <c r="AQ14" i="21"/>
  <c r="AT12" i="21"/>
  <c r="AT11" i="21"/>
  <c r="AP14" i="21"/>
  <c r="AJ21" i="18" l="1"/>
  <c r="BL52" i="18"/>
  <c r="AT13" i="21"/>
  <c r="AJ11" i="18"/>
  <c r="BL55" i="18"/>
  <c r="AP35" i="18"/>
  <c r="AQ30" i="18"/>
  <c r="AP38" i="18"/>
  <c r="AC12" i="17"/>
  <c r="W36" i="18"/>
  <c r="Y36" i="18"/>
  <c r="BE56" i="18"/>
  <c r="BL51" i="18"/>
  <c r="AC24" i="18"/>
  <c r="AJ7" i="18"/>
  <c r="BG56" i="18"/>
  <c r="AE24" i="18"/>
  <c r="AJ24" i="18" l="1"/>
  <c r="BL56" i="18"/>
  <c r="BM51" i="18" s="1"/>
  <c r="AE12" i="17"/>
  <c r="AY57" i="17" s="1"/>
  <c r="BB66" i="17"/>
  <c r="AD12" i="17"/>
  <c r="AX57" i="17" s="1"/>
  <c r="AC14" i="17"/>
  <c r="Z36" i="18"/>
  <c r="X36" i="18"/>
  <c r="AO36" i="18"/>
  <c r="AA36" i="18"/>
  <c r="AN36" i="18"/>
  <c r="AQ32" i="18"/>
  <c r="AQ31" i="18"/>
  <c r="AQ34" i="18"/>
  <c r="AQ33" i="18"/>
  <c r="BB73" i="17" l="1"/>
  <c r="BC66" i="17"/>
  <c r="BH57" i="18"/>
  <c r="BF57" i="18"/>
  <c r="AK53" i="17"/>
  <c r="BI57" i="18"/>
  <c r="BK57" i="18"/>
  <c r="BJ57" i="18"/>
  <c r="BM54" i="18"/>
  <c r="BM53" i="18"/>
  <c r="BM52" i="18"/>
  <c r="BM55" i="18"/>
  <c r="BG57" i="18"/>
  <c r="BE57" i="18"/>
  <c r="BN56" i="18" l="1"/>
  <c r="BL59" i="18"/>
  <c r="BC73" i="17"/>
  <c r="BD66" i="17"/>
  <c r="BD70" i="17" l="1"/>
  <c r="BD67" i="17"/>
  <c r="BD68" i="17"/>
  <c r="BD78" i="17"/>
  <c r="BD71" i="17"/>
  <c r="BD72" i="17"/>
  <c r="BD69" i="17"/>
  <c r="BE72" i="17" l="1"/>
  <c r="BE71" i="17"/>
  <c r="BE68" i="17"/>
  <c r="BE70" i="17"/>
  <c r="BE66" i="17"/>
  <c r="BE78" i="17" s="1"/>
  <c r="J17" i="5"/>
  <c r="K17" i="5"/>
  <c r="J34" i="5"/>
  <c r="K34" i="5" s="1"/>
  <c r="J61" i="5"/>
  <c r="K61" i="5" s="1"/>
  <c r="J7" i="5"/>
  <c r="K7" i="5" s="1"/>
  <c r="J28" i="5"/>
  <c r="K28" i="5" s="1"/>
  <c r="J6" i="5"/>
  <c r="K6" i="5" s="1"/>
  <c r="J43" i="5"/>
  <c r="K43" i="5"/>
  <c r="J54" i="5"/>
  <c r="K54" i="5"/>
  <c r="L54" i="5" s="1"/>
  <c r="M54" i="5" s="1"/>
  <c r="J41" i="5"/>
  <c r="K41" i="5" s="1"/>
  <c r="L41" i="5" s="1"/>
  <c r="M41" i="5" s="1"/>
  <c r="J20" i="5"/>
  <c r="K20" i="5" s="1"/>
  <c r="J68" i="5"/>
  <c r="K68" i="5" s="1"/>
  <c r="J75" i="5"/>
  <c r="K75" i="5" s="1"/>
  <c r="J67" i="5"/>
  <c r="K67" i="5" s="1"/>
  <c r="J65" i="5"/>
  <c r="K65" i="5" s="1"/>
  <c r="J47" i="5"/>
  <c r="K47" i="5" s="1"/>
  <c r="J48" i="5"/>
  <c r="K48" i="5" s="1"/>
  <c r="J16" i="5"/>
  <c r="K16" i="5" s="1"/>
  <c r="L16" i="5" s="1"/>
  <c r="M16" i="5" s="1"/>
  <c r="J72" i="5"/>
  <c r="K72" i="5"/>
  <c r="J56" i="5"/>
  <c r="K56" i="5" s="1"/>
  <c r="J46" i="5"/>
  <c r="K46" i="5" s="1"/>
  <c r="L46" i="5" s="1"/>
  <c r="M46" i="5" s="1"/>
  <c r="J44" i="5"/>
  <c r="K44" i="5"/>
  <c r="L44" i="5" s="1"/>
  <c r="M44" i="5" s="1"/>
  <c r="J73" i="5"/>
  <c r="K73" i="5" s="1"/>
  <c r="J30" i="5"/>
  <c r="K30" i="5" s="1"/>
  <c r="J40" i="5"/>
  <c r="K40" i="5" s="1"/>
  <c r="J14" i="5"/>
  <c r="K14" i="5" s="1"/>
  <c r="L14" i="5" s="1"/>
  <c r="M14" i="5" s="1"/>
  <c r="J53" i="5"/>
  <c r="K53" i="5" s="1"/>
  <c r="L53" i="5" s="1"/>
  <c r="M53" i="5" s="1"/>
  <c r="J64" i="5"/>
  <c r="K64" i="5"/>
  <c r="L64" i="5" s="1"/>
  <c r="M64" i="5" s="1"/>
  <c r="J13" i="5"/>
  <c r="K13" i="5" s="1"/>
  <c r="J60" i="5"/>
  <c r="K60" i="5" s="1"/>
  <c r="J66" i="5"/>
  <c r="K66" i="5" s="1"/>
  <c r="J45" i="5"/>
  <c r="K45" i="5" s="1"/>
  <c r="J32" i="5"/>
  <c r="K32" i="5" s="1"/>
  <c r="J62" i="5"/>
  <c r="K62" i="5" s="1"/>
  <c r="J33" i="5"/>
  <c r="K33" i="5" s="1"/>
  <c r="J71" i="5"/>
  <c r="K71" i="5" s="1"/>
  <c r="J69" i="5"/>
  <c r="K69" i="5" s="1"/>
  <c r="J51" i="5"/>
  <c r="K51" i="5"/>
  <c r="L51" i="5" s="1"/>
  <c r="M51" i="5" s="1"/>
  <c r="J76" i="5"/>
  <c r="K76" i="5"/>
  <c r="L76" i="5" s="1"/>
  <c r="M76" i="5" s="1"/>
  <c r="J26" i="5"/>
  <c r="K26" i="5" s="1"/>
  <c r="L26" i="5" s="1"/>
  <c r="M26" i="5" s="1"/>
  <c r="J21" i="5"/>
  <c r="K21" i="5" s="1"/>
  <c r="J49" i="5"/>
  <c r="K49" i="5" s="1"/>
  <c r="J52" i="5"/>
  <c r="K52" i="5" s="1"/>
  <c r="L52" i="5" s="1"/>
  <c r="M52" i="5" s="1"/>
  <c r="J22" i="5"/>
  <c r="K22" i="5" s="1"/>
  <c r="J27" i="5"/>
  <c r="K27" i="5" s="1"/>
  <c r="J18" i="5"/>
  <c r="K18" i="5" s="1"/>
  <c r="L18" i="5" s="1"/>
  <c r="M18" i="5" s="1"/>
  <c r="J55" i="5"/>
  <c r="K55" i="5" s="1"/>
  <c r="J24" i="5"/>
  <c r="K24" i="5" s="1"/>
  <c r="J70" i="5"/>
  <c r="K70" i="5"/>
  <c r="L70" i="5" s="1"/>
  <c r="M70" i="5" s="1"/>
  <c r="J36" i="5"/>
  <c r="K36" i="5"/>
  <c r="L36" i="5" s="1"/>
  <c r="M36" i="5" s="1"/>
  <c r="J12" i="5"/>
  <c r="K12" i="5" s="1"/>
  <c r="L12" i="5" s="1"/>
  <c r="M12" i="5" s="1"/>
  <c r="J50" i="5"/>
  <c r="K50" i="5" s="1"/>
  <c r="J19" i="5"/>
  <c r="K19" i="5" s="1"/>
  <c r="J23" i="5"/>
  <c r="K23" i="5" s="1"/>
  <c r="J42" i="5"/>
  <c r="K42" i="5" s="1"/>
  <c r="J10" i="5"/>
  <c r="K10" i="5" s="1"/>
  <c r="L10" i="5" s="1"/>
  <c r="M10" i="5" s="1"/>
  <c r="J57" i="5"/>
  <c r="K57" i="5"/>
  <c r="J9" i="5"/>
  <c r="K9" i="5" s="1"/>
  <c r="J63" i="5"/>
  <c r="K63" i="5" s="1"/>
  <c r="J59" i="5"/>
  <c r="K59" i="5" s="1"/>
  <c r="L59" i="5" s="1"/>
  <c r="M59" i="5" s="1"/>
  <c r="J29" i="5"/>
  <c r="K29" i="5" s="1"/>
  <c r="L29" i="5" s="1"/>
  <c r="M29" i="5" s="1"/>
  <c r="J35" i="5"/>
  <c r="K35" i="5" s="1"/>
  <c r="J39" i="5"/>
  <c r="K39" i="5" s="1"/>
  <c r="J11" i="5"/>
  <c r="K11" i="5" s="1"/>
  <c r="J25" i="5"/>
  <c r="K25" i="5" s="1"/>
  <c r="L25" i="5" s="1"/>
  <c r="M25" i="5" s="1"/>
  <c r="J31" i="5"/>
  <c r="K31" i="5" s="1"/>
  <c r="J38" i="5"/>
  <c r="K38" i="5"/>
  <c r="L38" i="5" s="1"/>
  <c r="M38" i="5" s="1"/>
  <c r="J37" i="5"/>
  <c r="K37" i="5" s="1"/>
  <c r="J8" i="5"/>
  <c r="K8" i="5" s="1"/>
  <c r="J15" i="5"/>
  <c r="K15" i="5" s="1"/>
  <c r="J58" i="5"/>
  <c r="K58" i="5" s="1"/>
  <c r="J74" i="5"/>
  <c r="K74" i="5" s="1"/>
  <c r="BD8" i="23" l="1"/>
  <c r="BI8" i="23" s="1"/>
  <c r="AK25" i="23"/>
  <c r="L19" i="5"/>
  <c r="M19" i="5" s="1"/>
  <c r="L65" i="5"/>
  <c r="M65" i="5" s="1"/>
  <c r="AK18" i="23"/>
  <c r="AK49" i="23"/>
  <c r="AK28" i="23"/>
  <c r="L23" i="5"/>
  <c r="M23" i="5" s="1"/>
  <c r="AK58" i="23"/>
  <c r="BD73" i="23"/>
  <c r="BI73" i="23" s="1"/>
  <c r="K78" i="5"/>
  <c r="L72" i="5"/>
  <c r="M72" i="5" s="1"/>
  <c r="L60" i="5"/>
  <c r="M60" i="5" s="1"/>
  <c r="AK24" i="23"/>
  <c r="AK21" i="23"/>
  <c r="L50" i="5"/>
  <c r="M50" i="5" s="1"/>
  <c r="L67" i="5"/>
  <c r="M67" i="5" s="1"/>
  <c r="AK8" i="23"/>
  <c r="BD45" i="23"/>
  <c r="BI45" i="23" s="1"/>
  <c r="L55" i="5"/>
  <c r="M55" i="5" s="1"/>
  <c r="L7" i="5"/>
  <c r="M7" i="5" s="1"/>
  <c r="L31" i="5"/>
  <c r="M31" i="5" s="1"/>
  <c r="BD37" i="23"/>
  <c r="BI37" i="23" s="1"/>
  <c r="AK5" i="23"/>
  <c r="L27" i="5"/>
  <c r="M27" i="5" s="1"/>
  <c r="L13" i="5"/>
  <c r="M13" i="5" s="1"/>
  <c r="L49" i="5"/>
  <c r="M49" i="5" s="1"/>
  <c r="L35" i="5"/>
  <c r="M35" i="5" s="1"/>
  <c r="BD53" i="23"/>
  <c r="BI53" i="23" s="1"/>
  <c r="L17" i="5"/>
  <c r="M17" i="5" s="1"/>
  <c r="AK9" i="23"/>
  <c r="AK36" i="23"/>
  <c r="L9" i="5"/>
  <c r="M9" i="5" s="1"/>
  <c r="AK59" i="23"/>
  <c r="BD66" i="23"/>
  <c r="BI66" i="23" s="1"/>
  <c r="BD16" i="23"/>
  <c r="BI16" i="23" s="1"/>
  <c r="AK16" i="23"/>
  <c r="L48" i="5"/>
  <c r="M48" i="5" s="1"/>
  <c r="Q6" i="5"/>
  <c r="L6" i="5"/>
  <c r="AK35" i="23"/>
  <c r="BD35" i="23"/>
  <c r="L71" i="5"/>
  <c r="M71" i="5" s="1"/>
  <c r="Q7" i="5"/>
  <c r="L11" i="5"/>
  <c r="M11" i="5" s="1"/>
  <c r="L75" i="5"/>
  <c r="M75" i="5" s="1"/>
  <c r="L33" i="5"/>
  <c r="M33" i="5" s="1"/>
  <c r="L74" i="5"/>
  <c r="M74" i="5" s="1"/>
  <c r="AK43" i="23"/>
  <c r="BD43" i="23"/>
  <c r="BI43" i="23" s="1"/>
  <c r="AK23" i="23"/>
  <c r="BD23" i="23"/>
  <c r="BI23" i="23" s="1"/>
  <c r="L47" i="5"/>
  <c r="M47" i="5" s="1"/>
  <c r="L28" i="5"/>
  <c r="M28" i="5" s="1"/>
  <c r="L69" i="5"/>
  <c r="M69" i="5" s="1"/>
  <c r="L40" i="5"/>
  <c r="M40" i="5" s="1"/>
  <c r="L61" i="5"/>
  <c r="M61" i="5" s="1"/>
  <c r="Q10" i="5"/>
  <c r="L73" i="5"/>
  <c r="M73" i="5" s="1"/>
  <c r="L68" i="5"/>
  <c r="M68" i="5" s="1"/>
  <c r="L15" i="5"/>
  <c r="M15" i="5" s="1"/>
  <c r="L45" i="5"/>
  <c r="M45" i="5" s="1"/>
  <c r="AK64" i="23"/>
  <c r="BD64" i="23"/>
  <c r="BI64" i="23" s="1"/>
  <c r="L42" i="5"/>
  <c r="M42" i="5" s="1"/>
  <c r="L34" i="5"/>
  <c r="M34" i="5" s="1"/>
  <c r="L62" i="5"/>
  <c r="M62" i="5" s="1"/>
  <c r="L58" i="5"/>
  <c r="M58" i="5" s="1"/>
  <c r="L32" i="5"/>
  <c r="M32" i="5" s="1"/>
  <c r="L21" i="5"/>
  <c r="M21" i="5" s="1"/>
  <c r="L30" i="5"/>
  <c r="M30" i="5" s="1"/>
  <c r="BD68" i="23"/>
  <c r="BI68" i="23" s="1"/>
  <c r="AK68" i="23"/>
  <c r="L20" i="5"/>
  <c r="M20" i="5" s="1"/>
  <c r="L8" i="5"/>
  <c r="M8" i="5" s="1"/>
  <c r="L24" i="5"/>
  <c r="M24" i="5" s="1"/>
  <c r="L66" i="5"/>
  <c r="M66" i="5" s="1"/>
  <c r="Q8" i="5"/>
  <c r="L37" i="5"/>
  <c r="M37" i="5" s="1"/>
  <c r="L56" i="5"/>
  <c r="M56" i="5" s="1"/>
  <c r="AK7" i="23"/>
  <c r="BD7" i="23"/>
  <c r="BI7" i="23" s="1"/>
  <c r="Q9" i="5"/>
  <c r="L39" i="5"/>
  <c r="M39" i="5" s="1"/>
  <c r="L22" i="5"/>
  <c r="M22" i="5" s="1"/>
  <c r="L57" i="5"/>
  <c r="M57" i="5" s="1"/>
  <c r="L63" i="5"/>
  <c r="M63" i="5" s="1"/>
  <c r="L43" i="5"/>
  <c r="M43" i="5" s="1"/>
  <c r="BD25" i="23" l="1"/>
  <c r="BI25" i="23" s="1"/>
  <c r="BD28" i="23"/>
  <c r="BI28" i="23" s="1"/>
  <c r="AK45" i="23"/>
  <c r="BD18" i="23"/>
  <c r="BI18" i="23" s="1"/>
  <c r="AK73" i="23"/>
  <c r="BD58" i="23"/>
  <c r="BI58" i="23" s="1"/>
  <c r="BD49" i="23"/>
  <c r="BI49" i="23" s="1"/>
  <c r="BD9" i="23"/>
  <c r="BI9" i="23" s="1"/>
  <c r="BD21" i="23"/>
  <c r="BI21" i="23" s="1"/>
  <c r="BD24" i="23"/>
  <c r="BI24" i="23" s="1"/>
  <c r="AK53" i="23"/>
  <c r="L78" i="5"/>
  <c r="CO10" i="23"/>
  <c r="AK37" i="23"/>
  <c r="AK34" i="23"/>
  <c r="BD34" i="23"/>
  <c r="BI34" i="23" s="1"/>
  <c r="BD62" i="23"/>
  <c r="BI62" i="23" s="1"/>
  <c r="AK62" i="23"/>
  <c r="AK66" i="23"/>
  <c r="BD71" i="23"/>
  <c r="BI71" i="23" s="1"/>
  <c r="AK71" i="23"/>
  <c r="BD32" i="23"/>
  <c r="BI32" i="23" s="1"/>
  <c r="AK32" i="23"/>
  <c r="BD30" i="23"/>
  <c r="BI30" i="23" s="1"/>
  <c r="AK30" i="23"/>
  <c r="BD59" i="23"/>
  <c r="BI59" i="23" s="1"/>
  <c r="BD5" i="23"/>
  <c r="BI5" i="23" s="1"/>
  <c r="BD36" i="23"/>
  <c r="BI36" i="23" s="1"/>
  <c r="BD14" i="23"/>
  <c r="BI14" i="23" s="1"/>
  <c r="AK14" i="23"/>
  <c r="BD10" i="23"/>
  <c r="BI10" i="23" s="1"/>
  <c r="AK10" i="23"/>
  <c r="AK51" i="23"/>
  <c r="BD51" i="23"/>
  <c r="BI51" i="23" s="1"/>
  <c r="BD55" i="23"/>
  <c r="BI55" i="23" s="1"/>
  <c r="AK55" i="23"/>
  <c r="BD42" i="23"/>
  <c r="BI42" i="23" s="1"/>
  <c r="AK42" i="23"/>
  <c r="BD15" i="23"/>
  <c r="BI15" i="23" s="1"/>
  <c r="AK15" i="23"/>
  <c r="AK38" i="23"/>
  <c r="BD38" i="23"/>
  <c r="BI35" i="23"/>
  <c r="AF84" i="23"/>
  <c r="AK47" i="23"/>
  <c r="BD47" i="23"/>
  <c r="BI47" i="23" s="1"/>
  <c r="M6" i="5"/>
  <c r="M78" i="5" s="1"/>
  <c r="AK48" i="23"/>
  <c r="CO9" i="23"/>
  <c r="BD48" i="23"/>
  <c r="Q11" i="5"/>
  <c r="S10" i="5" s="1"/>
  <c r="BD13" i="23"/>
  <c r="BI13" i="23" s="1"/>
  <c r="AK13" i="23"/>
  <c r="AK63" i="23"/>
  <c r="BD63" i="23"/>
  <c r="BI63" i="23" s="1"/>
  <c r="BD56" i="23"/>
  <c r="BI56" i="23" s="1"/>
  <c r="AK56" i="23"/>
  <c r="BD20" i="23"/>
  <c r="BI20" i="23" s="1"/>
  <c r="AK20" i="23"/>
  <c r="BD31" i="23"/>
  <c r="BI31" i="23" s="1"/>
  <c r="AK31" i="23"/>
  <c r="BD70" i="23"/>
  <c r="BI70" i="23" s="1"/>
  <c r="AK70" i="23"/>
  <c r="AK39" i="23"/>
  <c r="BD39" i="23"/>
  <c r="BI39" i="23" s="1"/>
  <c r="BD27" i="23"/>
  <c r="BI27" i="23" s="1"/>
  <c r="AK27" i="23"/>
  <c r="AK60" i="23"/>
  <c r="BD60" i="23"/>
  <c r="CO7" i="23"/>
  <c r="AK67" i="23"/>
  <c r="BD67" i="23"/>
  <c r="BI67" i="23" s="1"/>
  <c r="AF83" i="23"/>
  <c r="CO8" i="23"/>
  <c r="AK40" i="23"/>
  <c r="BD40" i="23"/>
  <c r="BI40" i="23" s="1"/>
  <c r="AK17" i="23"/>
  <c r="BD17" i="23"/>
  <c r="BI17" i="23" s="1"/>
  <c r="AK61" i="23"/>
  <c r="BD61" i="23"/>
  <c r="BI61" i="23" s="1"/>
  <c r="BD19" i="23"/>
  <c r="BI19" i="23" s="1"/>
  <c r="AK19" i="23"/>
  <c r="BD72" i="23"/>
  <c r="BI72" i="23" s="1"/>
  <c r="AK72" i="23"/>
  <c r="AK6" i="23"/>
  <c r="BD6" i="23"/>
  <c r="BI6" i="23" s="1"/>
  <c r="BD26" i="23"/>
  <c r="BI26" i="23" s="1"/>
  <c r="AK26" i="23"/>
  <c r="CO6" i="23"/>
  <c r="AF82" i="23"/>
  <c r="AK50" i="23"/>
  <c r="BD50" i="23"/>
  <c r="BI50" i="23" s="1"/>
  <c r="BD44" i="23"/>
  <c r="BI44" i="23" s="1"/>
  <c r="AK44" i="23"/>
  <c r="BD57" i="23"/>
  <c r="BI57" i="23" s="1"/>
  <c r="AK57" i="23"/>
  <c r="AK11" i="23"/>
  <c r="BD11" i="23"/>
  <c r="BI11" i="23" s="1"/>
  <c r="AK22" i="23"/>
  <c r="BD22" i="23"/>
  <c r="BI22" i="23" s="1"/>
  <c r="BD69" i="23"/>
  <c r="BI69" i="23" s="1"/>
  <c r="AK69" i="23"/>
  <c r="AK52" i="23"/>
  <c r="BD52" i="23"/>
  <c r="BI52" i="23" s="1"/>
  <c r="AK33" i="23"/>
  <c r="BD33" i="23"/>
  <c r="BI33" i="23" s="1"/>
  <c r="BD46" i="23"/>
  <c r="BI46" i="23" s="1"/>
  <c r="AK46" i="23"/>
  <c r="BD41" i="23"/>
  <c r="BI41" i="23" s="1"/>
  <c r="AK41" i="23"/>
  <c r="BD75" i="23"/>
  <c r="BI75" i="23" s="1"/>
  <c r="AK75" i="23"/>
  <c r="BD74" i="23"/>
  <c r="BI74" i="23" s="1"/>
  <c r="AK74" i="23"/>
  <c r="BD54" i="23"/>
  <c r="BI54" i="23" s="1"/>
  <c r="AK54" i="23"/>
  <c r="AK29" i="23"/>
  <c r="BD29" i="23"/>
  <c r="BI29" i="23" s="1"/>
  <c r="BD12" i="23"/>
  <c r="BI12" i="23" s="1"/>
  <c r="AK12" i="23"/>
  <c r="AK65" i="23"/>
  <c r="BD65" i="23"/>
  <c r="BI65" i="23" s="1"/>
  <c r="AF86" i="23" l="1"/>
  <c r="AK82" i="23"/>
  <c r="S8" i="5"/>
  <c r="AD8" i="5" s="1"/>
  <c r="X10" i="5"/>
  <c r="W10" i="5"/>
  <c r="AA10" i="5"/>
  <c r="AE10" i="5"/>
  <c r="AF10" i="5"/>
  <c r="AB10" i="5"/>
  <c r="AC10" i="5"/>
  <c r="Y10" i="5"/>
  <c r="Z10" i="5"/>
  <c r="AD10" i="5"/>
  <c r="AH10" i="5"/>
  <c r="DM9" i="23"/>
  <c r="BI48" i="23"/>
  <c r="DR9" i="23" s="1"/>
  <c r="S6" i="5"/>
  <c r="W8" i="5"/>
  <c r="X8" i="5"/>
  <c r="AB8" i="5"/>
  <c r="Y8" i="5"/>
  <c r="BD82" i="23"/>
  <c r="BI60" i="23"/>
  <c r="DR7" i="23" s="1"/>
  <c r="DM7" i="23"/>
  <c r="CO11" i="23"/>
  <c r="AK84" i="23"/>
  <c r="CT7" i="23"/>
  <c r="AK81" i="23"/>
  <c r="CT9" i="23"/>
  <c r="S9" i="5"/>
  <c r="S7" i="5"/>
  <c r="BI38" i="23"/>
  <c r="DM6" i="23"/>
  <c r="CT8" i="23"/>
  <c r="CT6" i="23"/>
  <c r="CT10" i="23"/>
  <c r="BD81" i="23"/>
  <c r="BD86" i="23" s="1"/>
  <c r="DM10" i="23"/>
  <c r="BD83" i="23"/>
  <c r="BD84" i="23"/>
  <c r="AK83" i="23"/>
  <c r="DM8" i="23"/>
  <c r="DR10" i="23" l="1"/>
  <c r="DR8" i="23"/>
  <c r="AS86" i="23"/>
  <c r="AK86" i="23"/>
  <c r="AE8" i="5"/>
  <c r="DM11" i="23"/>
  <c r="AH8" i="5"/>
  <c r="AA8" i="5"/>
  <c r="Z8" i="5"/>
  <c r="AC8" i="5"/>
  <c r="AF8" i="5"/>
  <c r="W7" i="5"/>
  <c r="AE7" i="5"/>
  <c r="AB7" i="5"/>
  <c r="AA7" i="5"/>
  <c r="Y7" i="5"/>
  <c r="AD7" i="5"/>
  <c r="AC7" i="5"/>
  <c r="AF7" i="5"/>
  <c r="X7" i="5"/>
  <c r="AH7" i="5"/>
  <c r="Z7" i="5"/>
  <c r="AB6" i="5"/>
  <c r="Z6" i="5"/>
  <c r="AC6" i="5"/>
  <c r="AH6" i="5"/>
  <c r="W6" i="5"/>
  <c r="S11" i="5"/>
  <c r="AE6" i="5"/>
  <c r="AD6" i="5"/>
  <c r="X6" i="5"/>
  <c r="Y6" i="5"/>
  <c r="AF6" i="5"/>
  <c r="AA6" i="5"/>
  <c r="BI83" i="23"/>
  <c r="BI81" i="23"/>
  <c r="BI86" i="23" s="1"/>
  <c r="DR6" i="23"/>
  <c r="DR11" i="23" s="1"/>
  <c r="BI84" i="23"/>
  <c r="BI82" i="23"/>
  <c r="AG8" i="5"/>
  <c r="AG10" i="5"/>
  <c r="CT11" i="23"/>
  <c r="AE9" i="5"/>
  <c r="AD9" i="5"/>
  <c r="AB9" i="5"/>
  <c r="AA9" i="5"/>
  <c r="Y9" i="5"/>
  <c r="AF9" i="5"/>
  <c r="X9" i="5"/>
  <c r="AC9" i="5"/>
  <c r="Z9" i="5"/>
  <c r="AH9" i="5"/>
  <c r="W9" i="5"/>
  <c r="AG6" i="5" l="1"/>
  <c r="AG9" i="5"/>
  <c r="AG7" i="5"/>
</calcChain>
</file>

<file path=xl/sharedStrings.xml><?xml version="1.0" encoding="utf-8"?>
<sst xmlns="http://schemas.openxmlformats.org/spreadsheetml/2006/main" count="3600" uniqueCount="888">
  <si>
    <t>Libellé</t>
  </si>
  <si>
    <t>Code</t>
  </si>
  <si>
    <t>CA Caux Seine Agglo</t>
  </si>
  <si>
    <t>200010700</t>
  </si>
  <si>
    <t>Métropole Rouen Normandie</t>
  </si>
  <si>
    <t>200023414</t>
  </si>
  <si>
    <t>CC de la Vallée de la Haute-Sarthe</t>
  </si>
  <si>
    <t>200035103</t>
  </si>
  <si>
    <t>CC des Sources de l'Orne</t>
  </si>
  <si>
    <t>200035111</t>
  </si>
  <si>
    <t>CA Flers Agglo</t>
  </si>
  <si>
    <t>200035814</t>
  </si>
  <si>
    <t>CC du Pays de Mortagne-au-Perche</t>
  </si>
  <si>
    <t>200036069</t>
  </si>
  <si>
    <t>CA du Pays de Dreux</t>
  </si>
  <si>
    <t>200040277</t>
  </si>
  <si>
    <t>CC de Granville, Terre et Mer</t>
  </si>
  <si>
    <t>200042604</t>
  </si>
  <si>
    <t>CC de la Baie du Cotentin</t>
  </si>
  <si>
    <t>200042729</t>
  </si>
  <si>
    <t>CC de Villedieu Intercom</t>
  </si>
  <si>
    <t>200043354</t>
  </si>
  <si>
    <t>CC Normandie-Cabourg-Pays d'Auge</t>
  </si>
  <si>
    <t>200065563</t>
  </si>
  <si>
    <t>CC Val ès Dunes</t>
  </si>
  <si>
    <t>200065589</t>
  </si>
  <si>
    <t>CU Caen la Mer</t>
  </si>
  <si>
    <t>200065597</t>
  </si>
  <si>
    <t>CC de Pont-Audemer / Val de Risle</t>
  </si>
  <si>
    <t>200065787</t>
  </si>
  <si>
    <t>CC Lieuvin Pays d'Auge</t>
  </si>
  <si>
    <t>200066017</t>
  </si>
  <si>
    <t>CA Saint-Lô Agglo</t>
  </si>
  <si>
    <t>200066389</t>
  </si>
  <si>
    <t>CC Roumois Seine</t>
  </si>
  <si>
    <t>200066405</t>
  </si>
  <si>
    <t>CC Intercom Bernay Terres de Normandie</t>
  </si>
  <si>
    <t>200066413</t>
  </si>
  <si>
    <t>CC Interco Normandie Sud Eure</t>
  </si>
  <si>
    <t>200066462</t>
  </si>
  <si>
    <t>CC Cingal-Suisse Normande</t>
  </si>
  <si>
    <t>200066710</t>
  </si>
  <si>
    <t>CC Vallées de l'Orne et de l'Odon</t>
  </si>
  <si>
    <t>200066728</t>
  </si>
  <si>
    <t>CC Isigny-Omaha Intercom</t>
  </si>
  <si>
    <t>200066801</t>
  </si>
  <si>
    <t>CC du Pays de Honfleur-Beuzeville</t>
  </si>
  <si>
    <t>200066827</t>
  </si>
  <si>
    <t>CC Coutances Mer et Bocage</t>
  </si>
  <si>
    <t>200067023</t>
  </si>
  <si>
    <t>CC Côte Ouest Centre Manche</t>
  </si>
  <si>
    <t>200067031</t>
  </si>
  <si>
    <t>CA du Cotentin</t>
  </si>
  <si>
    <t>200067205</t>
  </si>
  <si>
    <t>CC Cœur du Perche</t>
  </si>
  <si>
    <t>200068435</t>
  </si>
  <si>
    <t>CC Andaine - Passais</t>
  </si>
  <si>
    <t>200068443</t>
  </si>
  <si>
    <t>CC Argentan Intercom</t>
  </si>
  <si>
    <t>200068450</t>
  </si>
  <si>
    <t>CC des Pays de L'Aigle</t>
  </si>
  <si>
    <t>200068468</t>
  </si>
  <si>
    <t>CC Terroir de Caux</t>
  </si>
  <si>
    <t>200068534</t>
  </si>
  <si>
    <t>CC Intercom de la Vire au Noireau</t>
  </si>
  <si>
    <t>200068799</t>
  </si>
  <si>
    <t>CC des Hauts du Perche</t>
  </si>
  <si>
    <t>200068856</t>
  </si>
  <si>
    <t>CA Mont-Saint-Michel-Normandie</t>
  </si>
  <si>
    <t>200069425</t>
  </si>
  <si>
    <t>CC des Vallées d'Auge et du Merlerault</t>
  </si>
  <si>
    <t>200069458</t>
  </si>
  <si>
    <t>CC Seulles Terre et Mer</t>
  </si>
  <si>
    <t>200069516</t>
  </si>
  <si>
    <t>CC Pré-Bocage Intercom</t>
  </si>
  <si>
    <t>200069524</t>
  </si>
  <si>
    <t>CA Lisieux Normandie</t>
  </si>
  <si>
    <t>200069532</t>
  </si>
  <si>
    <t>CC Interrégionale Aumale - Blangy-sur-Bresle</t>
  </si>
  <si>
    <t>200069722</t>
  </si>
  <si>
    <t>CC des Quatre Rivières</t>
  </si>
  <si>
    <t>200069730</t>
  </si>
  <si>
    <t>CA Fécamp Caux Littoral Agglomération</t>
  </si>
  <si>
    <t>200069821</t>
  </si>
  <si>
    <t>CC de la Côte d'Albâtre</t>
  </si>
  <si>
    <t>200069839</t>
  </si>
  <si>
    <t>CC Plateau de Caux-Doudeville-Yerville</t>
  </si>
  <si>
    <t>200069847</t>
  </si>
  <si>
    <t>CC Communauté Bray-Eawy</t>
  </si>
  <si>
    <t>200070068</t>
  </si>
  <si>
    <t>CC Lyons Andelle</t>
  </si>
  <si>
    <t>200070142</t>
  </si>
  <si>
    <t>CC Inter-Caux-Vexin</t>
  </si>
  <si>
    <t>200070449</t>
  </si>
  <si>
    <t>CA Evreux Portes de Normandie</t>
  </si>
  <si>
    <t>200071454</t>
  </si>
  <si>
    <t>CC des Collines du Perche Normand</t>
  </si>
  <si>
    <t>200071504</t>
  </si>
  <si>
    <t>CC Domfront Tinchebray Interco</t>
  </si>
  <si>
    <t>200071520</t>
  </si>
  <si>
    <t>CC du Pays Fertois et du Bocage Carrougien</t>
  </si>
  <si>
    <t>200071652</t>
  </si>
  <si>
    <t>CC du Vexin Normand</t>
  </si>
  <si>
    <t>200071843</t>
  </si>
  <si>
    <t>CA Seine Normandie Agglomération</t>
  </si>
  <si>
    <t>200072312</t>
  </si>
  <si>
    <t>CC Maine Saosnois</t>
  </si>
  <si>
    <t>200072676</t>
  </si>
  <si>
    <t>CU Le Havre Seine Métropole</t>
  </si>
  <si>
    <t>200084952</t>
  </si>
  <si>
    <t>CA Seine-Eure</t>
  </si>
  <si>
    <t>200089456</t>
  </si>
  <si>
    <t>CC Cœur Côte Fleurie</t>
  </si>
  <si>
    <t>241400415</t>
  </si>
  <si>
    <t>CC du Pays de Falaise</t>
  </si>
  <si>
    <t>241400514</t>
  </si>
  <si>
    <t>CC de Bayeux Intercom</t>
  </si>
  <si>
    <t>241400555</t>
  </si>
  <si>
    <t>CC Cœur de Nacre</t>
  </si>
  <si>
    <t>241400860</t>
  </si>
  <si>
    <t>CC Terre d'Auge</t>
  </si>
  <si>
    <t>241400878</t>
  </si>
  <si>
    <t>CC du Pays de Conches</t>
  </si>
  <si>
    <t>242700276</t>
  </si>
  <si>
    <t>CC du Pays du Neubourg</t>
  </si>
  <si>
    <t>242700607</t>
  </si>
  <si>
    <t>CC du Val d'Orne</t>
  </si>
  <si>
    <t>246100390</t>
  </si>
  <si>
    <t>CU d'Alençon</t>
  </si>
  <si>
    <t>246100663</t>
  </si>
  <si>
    <t>CC Campagne-de-Caux</t>
  </si>
  <si>
    <t>247600505</t>
  </si>
  <si>
    <t>CC des Villes Sœurs</t>
  </si>
  <si>
    <t>247600588</t>
  </si>
  <si>
    <t>CC de Londinières</t>
  </si>
  <si>
    <t>247600604</t>
  </si>
  <si>
    <t>CC Yvetot Normandie</t>
  </si>
  <si>
    <t>247600620</t>
  </si>
  <si>
    <t>CC Caux - Austreberthe</t>
  </si>
  <si>
    <t>247600646</t>
  </si>
  <si>
    <t>CC Falaises du Talou</t>
  </si>
  <si>
    <t>247600729</t>
  </si>
  <si>
    <t>CA de la Région Dieppoise</t>
  </si>
  <si>
    <t>247600786</t>
  </si>
  <si>
    <t>Arrondissement</t>
  </si>
  <si>
    <t>Département</t>
  </si>
  <si>
    <t>population 2020</t>
  </si>
  <si>
    <t xml:space="preserve">total exploitants AGRICOLES </t>
  </si>
  <si>
    <t>kg/hab.INSEE</t>
  </si>
  <si>
    <t>kg/hab.DGF</t>
  </si>
  <si>
    <t>Part des exploitations vendant en circuit court en 2020</t>
  </si>
  <si>
    <t>référence</t>
  </si>
  <si>
    <t xml:space="preserve">référence </t>
  </si>
  <si>
    <t>EPCI</t>
  </si>
  <si>
    <t>Total</t>
  </si>
  <si>
    <t>Autres</t>
  </si>
  <si>
    <t>Autoconso</t>
  </si>
  <si>
    <t>Conditionneurs</t>
  </si>
  <si>
    <t>spé non Bio</t>
  </si>
  <si>
    <t>spé Bio</t>
  </si>
  <si>
    <t>GMS</t>
  </si>
  <si>
    <t>Part volume</t>
  </si>
  <si>
    <t>Vente directe</t>
  </si>
  <si>
    <t xml:space="preserve">total </t>
  </si>
  <si>
    <t>Total KUVC</t>
  </si>
  <si>
    <t>KUVC 1kg</t>
  </si>
  <si>
    <t>KUVC 375g</t>
  </si>
  <si>
    <t>KUVC (500g)</t>
  </si>
  <si>
    <t>Volume (t)</t>
  </si>
  <si>
    <t>1kg</t>
  </si>
  <si>
    <t>vol 375g</t>
  </si>
  <si>
    <t xml:space="preserve">volume 500g </t>
  </si>
  <si>
    <t>Tableau des volumes normands de miel (2022) et UVC répartis par circuits</t>
  </si>
  <si>
    <t xml:space="preserve">total : </t>
  </si>
  <si>
    <t xml:space="preserve">seine M </t>
  </si>
  <si>
    <t>HN</t>
  </si>
  <si>
    <t xml:space="preserve">orne </t>
  </si>
  <si>
    <t xml:space="preserve">BN </t>
  </si>
  <si>
    <t>manche</t>
  </si>
  <si>
    <t>eure</t>
  </si>
  <si>
    <t>Répartition selon carto de BN et départements + ratio de surfaces</t>
  </si>
  <si>
    <t>Calvados</t>
  </si>
  <si>
    <t>BN</t>
  </si>
  <si>
    <t>Total UVC</t>
  </si>
  <si>
    <t>UVC 1kg</t>
  </si>
  <si>
    <t>UVC 375g</t>
  </si>
  <si>
    <t>UVC (equiv 500g)</t>
  </si>
  <si>
    <t>Volume</t>
  </si>
  <si>
    <t>Ratio</t>
  </si>
  <si>
    <t>Volumes par circuit</t>
  </si>
  <si>
    <t>Rouen</t>
  </si>
  <si>
    <t>Seine-Maritime</t>
  </si>
  <si>
    <t>Normandie</t>
  </si>
  <si>
    <t>Le Havre</t>
  </si>
  <si>
    <t>Dieppe</t>
  </si>
  <si>
    <t>Mortagne-au-Perche</t>
  </si>
  <si>
    <t>Orne</t>
  </si>
  <si>
    <t>Argentan</t>
  </si>
  <si>
    <t>Alençon</t>
  </si>
  <si>
    <t>Saint-Lô</t>
  </si>
  <si>
    <t>Manche</t>
  </si>
  <si>
    <t>Coutances</t>
  </si>
  <si>
    <t>Cherbourg</t>
  </si>
  <si>
    <t>Avranches</t>
  </si>
  <si>
    <t>Évreux</t>
  </si>
  <si>
    <t>Eure</t>
  </si>
  <si>
    <t>Bernay</t>
  </si>
  <si>
    <t>Les Andelys</t>
  </si>
  <si>
    <t>Vire</t>
  </si>
  <si>
    <t>Lisieux</t>
  </si>
  <si>
    <t>Caen</t>
  </si>
  <si>
    <t>Bayeux</t>
  </si>
  <si>
    <t>Kilo UVC loi AGEC 2027 (10 %)</t>
  </si>
  <si>
    <t>Kilo UVC loi AGEC 2026 (5%)</t>
  </si>
  <si>
    <t>Total Kilo UVC 2022</t>
  </si>
  <si>
    <t>Part</t>
  </si>
  <si>
    <t>Total conditionné (91%)</t>
  </si>
  <si>
    <t>Total miel (kg - 2022 - Agrex)</t>
  </si>
  <si>
    <t xml:space="preserve">Total équivalent bocal 500g </t>
  </si>
  <si>
    <t>Total miel (kg)</t>
  </si>
  <si>
    <t xml:space="preserve">Total nombre de ruches </t>
  </si>
  <si>
    <t xml:space="preserve">Pondération </t>
  </si>
  <si>
    <t>Population totale</t>
  </si>
  <si>
    <t>Population municipale</t>
  </si>
  <si>
    <t>Nombre de communes</t>
  </si>
  <si>
    <t>Code arrondissement</t>
  </si>
  <si>
    <t>Nom du département</t>
  </si>
  <si>
    <t>Code département</t>
  </si>
  <si>
    <t>Nom de la région</t>
  </si>
  <si>
    <t>Code région</t>
  </si>
  <si>
    <t xml:space="preserve">Total </t>
  </si>
  <si>
    <t>Kilo UVC (Tous UVC)</t>
  </si>
  <si>
    <t>Hl total</t>
  </si>
  <si>
    <t>Nombre de kilo UVC</t>
  </si>
  <si>
    <t>Volume (Hl)</t>
  </si>
  <si>
    <t>Part (%)</t>
  </si>
  <si>
    <t>Autres (métal, 50cl…)</t>
  </si>
  <si>
    <t>Fûts plastique (20 l)</t>
  </si>
  <si>
    <t>Fûts inox (20l)</t>
  </si>
  <si>
    <t>Bouteilles de 75cl</t>
  </si>
  <si>
    <t>Bouteilles de 33cl</t>
  </si>
  <si>
    <t>Colonne1</t>
  </si>
  <si>
    <t>1 brasserie fait 35 % des volumes</t>
  </si>
  <si>
    <t>10 basseries font 63 % des volumes</t>
  </si>
  <si>
    <t>10 brasseries font 53400 Hl</t>
  </si>
  <si>
    <t>litre</t>
  </si>
  <si>
    <t>bt</t>
  </si>
  <si>
    <t xml:space="preserve">Notre estimation </t>
  </si>
  <si>
    <t>Volume Hl</t>
  </si>
  <si>
    <t xml:space="preserve">Théorie 5 % du CA bière en France </t>
  </si>
  <si>
    <t>Part estimée à partir des chiffres filière</t>
  </si>
  <si>
    <t>Moyenne brasserie</t>
  </si>
  <si>
    <t>Autres (canette métal, 50cl…)</t>
  </si>
  <si>
    <t>Fûts plastiques 20 l</t>
  </si>
  <si>
    <t>Pourcent des volumes</t>
  </si>
  <si>
    <t xml:space="preserve">Part* des volumes </t>
  </si>
  <si>
    <t>23 millions d'hectolitres national</t>
  </si>
  <si>
    <t>Fûts inox (équivalent 20l)</t>
  </si>
  <si>
    <t xml:space="preserve">102 brasseries sur 125 environ </t>
  </si>
  <si>
    <t xml:space="preserve">Répartition volume par contenants : </t>
  </si>
  <si>
    <t>Kilo UVC fût plastique</t>
  </si>
  <si>
    <t>KiloUVC fût 20l acier</t>
  </si>
  <si>
    <t>KiloUVC 33cl</t>
  </si>
  <si>
    <t xml:space="preserve">Kilo UVC (Tous confondus) </t>
  </si>
  <si>
    <t>Hl corrigée (ajout des gros producteurs)</t>
  </si>
  <si>
    <t>Hectolitres (à 250 Khl de moyenne, hypothèse haute)</t>
  </si>
  <si>
    <t>Part effectif</t>
  </si>
  <si>
    <t>Pondération (nombre unités 2023  projet Amertume)</t>
  </si>
  <si>
    <t>Nom de l'arrondissement</t>
  </si>
  <si>
    <t>Source : Soleviam 2024 avec données DRAAF 2021</t>
  </si>
  <si>
    <t>Part UVC (%)</t>
  </si>
  <si>
    <t>Seine-M</t>
  </si>
  <si>
    <t xml:space="preserve">Orne </t>
  </si>
  <si>
    <t>KUVC Total</t>
  </si>
  <si>
    <t>KUVC fromage</t>
  </si>
  <si>
    <t>KUVC Ffrais 360g</t>
  </si>
  <si>
    <t xml:space="preserve">KUVC crème </t>
  </si>
  <si>
    <t>KUVC yaourt</t>
  </si>
  <si>
    <t xml:space="preserve">Département </t>
  </si>
  <si>
    <t>Tableau : KUVC comptabilisées pour l'industrie laitière par type et par département</t>
  </si>
  <si>
    <t xml:space="preserve">Part </t>
  </si>
  <si>
    <t>Livraisons aux laiteries :</t>
  </si>
  <si>
    <t xml:space="preserve">Fromages </t>
  </si>
  <si>
    <t xml:space="preserve">Kilo UVC loi AGEC 2027 </t>
  </si>
  <si>
    <t xml:space="preserve">Kilo UVC loi AGEC 2026 </t>
  </si>
  <si>
    <t>Kilo UVC loi AGEC 2025</t>
  </si>
  <si>
    <t>Kilo UVC loi AGEC 2024</t>
  </si>
  <si>
    <t>Kilo UVC loi AGEC 2023</t>
  </si>
  <si>
    <t>Fromages frais (petits syuisses x 6 = 360g)</t>
  </si>
  <si>
    <t>Tableau : Potentiel de demande de KUVC issus du réemploi par l'industrie laitière</t>
  </si>
  <si>
    <t>yaourts</t>
  </si>
  <si>
    <t xml:space="preserve">Crème </t>
  </si>
  <si>
    <t xml:space="preserve">Beurre </t>
  </si>
  <si>
    <t xml:space="preserve">tonnes produit </t>
  </si>
  <si>
    <t xml:space="preserve">KUVC total </t>
  </si>
  <si>
    <t>UVC fromage</t>
  </si>
  <si>
    <t>UVC Ffrais 360g</t>
  </si>
  <si>
    <t xml:space="preserve">UVC crème </t>
  </si>
  <si>
    <t>UVC yaourt</t>
  </si>
  <si>
    <t>effectif salarié IAA lait</t>
  </si>
  <si>
    <t>Kilo UVC loi AGEC 2022 (100%)</t>
  </si>
  <si>
    <t>KUVC Repas complet</t>
  </si>
  <si>
    <t xml:space="preserve">Niveau 4 </t>
  </si>
  <si>
    <t>Tableau : Demande en UVC pour le portage de repas à domicile en Normandie en 2023</t>
  </si>
  <si>
    <t>Niveau 3</t>
  </si>
  <si>
    <t>Niveau 2</t>
  </si>
  <si>
    <t>Niveau 1</t>
  </si>
  <si>
    <t>Notation des arrondissements avec la part de la population de plus de 60 ans : (d'après carte Insee structure de population agée en France)</t>
  </si>
  <si>
    <t>Ratio Ademe supérieur à 80 % idem que boisson en CHR</t>
  </si>
  <si>
    <t xml:space="preserve">total repas annuels </t>
  </si>
  <si>
    <t>KUVC totales (3bq/repas)</t>
  </si>
  <si>
    <t>KUVC repas complet</t>
  </si>
  <si>
    <t>UVC réemployables</t>
  </si>
  <si>
    <t>UVC totales (3bq/repas)</t>
  </si>
  <si>
    <t>UVC repas</t>
  </si>
  <si>
    <t>Nombre de repas</t>
  </si>
  <si>
    <t xml:space="preserve">Population plus de 60 ans </t>
  </si>
  <si>
    <t>Part totale (%)</t>
  </si>
  <si>
    <t xml:space="preserve">Part totale (%) </t>
  </si>
  <si>
    <t>Total  KUVC fixées facilement réemployables</t>
  </si>
  <si>
    <t>Cidricole  KUVC fixées facilement réemployables</t>
  </si>
  <si>
    <t>Bière  KUVC fixées facilement réemployables</t>
  </si>
  <si>
    <t>Portage domicile  KUVC fixées facilement réemployables</t>
  </si>
  <si>
    <t>Rest. à emporter  KUVC fixées facilement réemployables</t>
  </si>
  <si>
    <t>Fermiers  KUVC fixées facilement réemployables</t>
  </si>
  <si>
    <t>Ind. Lait. KUVC fixées facilement réemployables</t>
  </si>
  <si>
    <t>Miel KUVC fixées facilement réemployables</t>
  </si>
  <si>
    <t>Tableau : Répartition des UVC fixées en Normandie facilement réemployables par filière et département</t>
  </si>
  <si>
    <t>MUVC totales</t>
  </si>
  <si>
    <t xml:space="preserve">=consommation normande </t>
  </si>
  <si>
    <t>MUVC cidricole</t>
  </si>
  <si>
    <t xml:space="preserve">=production normande </t>
  </si>
  <si>
    <t>MUVC bière</t>
  </si>
  <si>
    <t>= consommation normande</t>
  </si>
  <si>
    <t>MUVC portage domicile</t>
  </si>
  <si>
    <t>MUVC rest. à emporter</t>
  </si>
  <si>
    <t>= 80 % de la production normande</t>
  </si>
  <si>
    <t>MUVC fermiers</t>
  </si>
  <si>
    <t>=consommation normande</t>
  </si>
  <si>
    <t xml:space="preserve">MUVC ind. Lait.  </t>
  </si>
  <si>
    <t>=production normande</t>
  </si>
  <si>
    <t>MUVC Miel</t>
  </si>
  <si>
    <t>Mode de calcul des UVC fixées</t>
  </si>
  <si>
    <t>Part (%) UVC fixées facilement réemployables (hors ind. Lait et restauration)</t>
  </si>
  <si>
    <t>Part UVC fixées facilement réemployables</t>
  </si>
  <si>
    <t>MUVC fixées facilement réemployables</t>
  </si>
  <si>
    <t>Total MUVC fixées (MUVC)</t>
  </si>
  <si>
    <t xml:space="preserve">Filière </t>
  </si>
  <si>
    <t xml:space="preserve">UVC fixées sur le territoire (UVC à la fois produites et consommées en Normandie) </t>
  </si>
  <si>
    <t>Part de production locale / consommation (%)</t>
  </si>
  <si>
    <t>Part de consommation locale / production (%)</t>
  </si>
  <si>
    <t>Tableau : ratio de consommation et de production en Normandie pour les filières étudiées</t>
  </si>
  <si>
    <t>KUVC cidricole</t>
  </si>
  <si>
    <t>KUVC bière</t>
  </si>
  <si>
    <t>KUVC portage domicile</t>
  </si>
  <si>
    <t>KUVC rest. à emporter</t>
  </si>
  <si>
    <t>KUVC fermiers</t>
  </si>
  <si>
    <t xml:space="preserve">KUVC ind. Lait.  </t>
  </si>
  <si>
    <t>KUVC Miel</t>
  </si>
  <si>
    <t>Restauration à emporter</t>
  </si>
  <si>
    <t xml:space="preserve">Consommation à domicile </t>
  </si>
  <si>
    <t xml:space="preserve">Producteurs </t>
  </si>
  <si>
    <t>MUVC facilement réemployables</t>
  </si>
  <si>
    <t>Ratios part des emballages réemployables (à long terme sur la base Ademe)</t>
  </si>
  <si>
    <t>Source :  (Soleviam 2023 d'après Ademe, le gisement des emballages ménagers en France, 2006)</t>
  </si>
  <si>
    <t>Total :</t>
  </si>
  <si>
    <t xml:space="preserve">chien et chat </t>
  </si>
  <si>
    <t xml:space="preserve">surgelés </t>
  </si>
  <si>
    <t xml:space="preserve">alimentation infaltile </t>
  </si>
  <si>
    <t>confitures et fruits au sirop</t>
  </si>
  <si>
    <t>yaourt</t>
  </si>
  <si>
    <t>lait</t>
  </si>
  <si>
    <t>Boissons sans alcool</t>
  </si>
  <si>
    <t>conserves légumes</t>
  </si>
  <si>
    <t>jus et nectars</t>
  </si>
  <si>
    <t>champagnes et mousseux</t>
  </si>
  <si>
    <t>Apéritifs et whiskies</t>
  </si>
  <si>
    <t>Eaux</t>
  </si>
  <si>
    <t>Miel</t>
  </si>
  <si>
    <t>bière, panaché</t>
  </si>
  <si>
    <t>cidre</t>
  </si>
  <si>
    <t>vin</t>
  </si>
  <si>
    <t xml:space="preserve">UVC Verre à domicile </t>
  </si>
  <si>
    <t>UVC à domicile (86% des repas)</t>
  </si>
  <si>
    <t xml:space="preserve">UVC Normandie </t>
  </si>
  <si>
    <t xml:space="preserve">UVC Nationales </t>
  </si>
  <si>
    <t>Type de produit</t>
  </si>
  <si>
    <t>Gisement des emballages ménagers en France en millions d'UVC nationales</t>
  </si>
  <si>
    <t>bière</t>
  </si>
  <si>
    <t>Facteur d'autoconsommation régionale (%)</t>
  </si>
  <si>
    <t xml:space="preserve">UVC des producteurs </t>
  </si>
  <si>
    <t>UVC des ménages Normandie (yc CHR)</t>
  </si>
  <si>
    <t>Tableau : comparaison de la demande en UVC (en millions) de la part des producteurs et de l'offre d'emballages usagés (des consommateurs)</t>
  </si>
  <si>
    <t>KUVC cidricole consommés</t>
  </si>
  <si>
    <t>KUVC cidricole produits</t>
  </si>
  <si>
    <t>KUVC bière consommés</t>
  </si>
  <si>
    <t>KUVC bière produit</t>
  </si>
  <si>
    <t>KUVC portage domicile consommé</t>
  </si>
  <si>
    <t>KUVC rest. à emporter consommés</t>
  </si>
  <si>
    <t>KUVC fermiers consommés</t>
  </si>
  <si>
    <t>KUVC fermiers produits</t>
  </si>
  <si>
    <t>KUVC lait consommés</t>
  </si>
  <si>
    <t>KUVC ind. Lait. produits</t>
  </si>
  <si>
    <t>MielKUVC fixées facilement réemployables consommés</t>
  </si>
  <si>
    <t>KUVC Miel produits</t>
  </si>
  <si>
    <t>Potentiel total de demande annuelle en emballages en UVC par filière de production en Normandie</t>
  </si>
  <si>
    <t>Source : Soleviam 2023</t>
  </si>
  <si>
    <t xml:space="preserve">Tableau : Potentiel total de demande annuelle en emballages en UVC facilement réemployables </t>
  </si>
  <si>
    <t>Soleviam 2023</t>
  </si>
  <si>
    <t>Ratio potentiel de réemploi (%)</t>
  </si>
  <si>
    <t>Tableau: Ratios utilisés pour définir le gisement d'emballages facilement réemployables</t>
  </si>
  <si>
    <t>Source Soleviam 2023</t>
  </si>
  <si>
    <t>KUVC totales réemployées loi Agec 2027</t>
  </si>
  <si>
    <t>Répartition par filière des KUVC objectifs réemploi loi Agec 2027</t>
  </si>
  <si>
    <t>Province</t>
  </si>
  <si>
    <t>Potentiel total de demande annuelle en emballages en UVC facilement réemployables (hors cidre et industrie laitière)</t>
  </si>
  <si>
    <t xml:space="preserve">Potentiel total de demande annuelle en emballages en UVC facilement réemployables </t>
  </si>
  <si>
    <t>S</t>
  </si>
  <si>
    <t>Potentiel total de demande annuelle en emballages en UVC par les filières alimentaires artisanales en Normandie (hors vente à emporter et hors IAA laitières)</t>
  </si>
  <si>
    <t>restau emporter ration de 10 % car surtout axé recyclage et pas réemploi dans les objectifs agec</t>
  </si>
  <si>
    <t>hypothèse 0,35 % pour les produits fermiers égal aux compotes - confitures</t>
  </si>
  <si>
    <t>hypothèse moyenne entre frais et non frais</t>
  </si>
  <si>
    <t>ratio confitures et compotes</t>
  </si>
  <si>
    <t>Total KUVC réemployable</t>
  </si>
  <si>
    <t>KUVC réemployable cidricole</t>
  </si>
  <si>
    <t>KUVC bière réemployable</t>
  </si>
  <si>
    <t>KUVC réemployable portage domicile</t>
  </si>
  <si>
    <t>KUVC réemployable à emporter</t>
  </si>
  <si>
    <t>KUVC verre fermiers</t>
  </si>
  <si>
    <t xml:space="preserve">KUVC verre ind. Lait.  </t>
  </si>
  <si>
    <t>KUVC verre Miel</t>
  </si>
  <si>
    <t>KUVC totales</t>
  </si>
  <si>
    <t>arrondissement</t>
  </si>
  <si>
    <t>département</t>
  </si>
  <si>
    <t>KUVC objectifs réemploi loi Agec 2027</t>
  </si>
  <si>
    <t>KUVC facilement réemployables (verre et autres contenants facilement réemployables)</t>
  </si>
  <si>
    <t>UVC totales producteurs</t>
  </si>
  <si>
    <t xml:space="preserve">Chien et chat </t>
  </si>
  <si>
    <t xml:space="preserve">Surgelés </t>
  </si>
  <si>
    <t xml:space="preserve">Alimentation infaltile </t>
  </si>
  <si>
    <t>Confitures et fruits au sirop</t>
  </si>
  <si>
    <t>Yaourt</t>
  </si>
  <si>
    <t>Lait</t>
  </si>
  <si>
    <t>Conserves légumes</t>
  </si>
  <si>
    <t>Jus et nectars</t>
  </si>
  <si>
    <t>Champagnes et mousseux</t>
  </si>
  <si>
    <t>Bière, panaché</t>
  </si>
  <si>
    <t>Cidre</t>
  </si>
  <si>
    <t>Vin</t>
  </si>
  <si>
    <r>
      <t xml:space="preserve">Tableau : Répartition du gisement total d'emballages alimentaires facilement réemployables consommés par les ménages normands </t>
    </r>
    <r>
      <rPr>
        <b/>
        <u/>
        <sz val="11"/>
        <color theme="0"/>
        <rFont val="Calibri"/>
        <family val="2"/>
        <scheme val="minor"/>
      </rPr>
      <t>en milliers</t>
    </r>
    <r>
      <rPr>
        <b/>
        <sz val="11"/>
        <color theme="0"/>
        <rFont val="Calibri"/>
        <family val="2"/>
        <scheme val="minor"/>
      </rPr>
      <t xml:space="preserve"> d'UVC  (KUVC)</t>
    </r>
  </si>
  <si>
    <r>
      <t xml:space="preserve">Tableau : Répartition du gisement total d'emballages alimentaires consommés par les ménages normands </t>
    </r>
    <r>
      <rPr>
        <b/>
        <u/>
        <sz val="11"/>
        <color theme="0"/>
        <rFont val="Calibri"/>
        <family val="2"/>
        <scheme val="minor"/>
      </rPr>
      <t>en millions</t>
    </r>
    <r>
      <rPr>
        <b/>
        <sz val="11"/>
        <color theme="0"/>
        <rFont val="Calibri"/>
        <family val="2"/>
        <scheme val="minor"/>
      </rPr>
      <t xml:space="preserve"> d'UVC  (MUVC)</t>
    </r>
  </si>
  <si>
    <t>Source : Soleviam 2023 avec Ademe 2023 (potentiel du réemploi des emballages) et Ademe 2006 (le gisement des emballages ménagers en France). * Les ratios de réemploi sont pris dans la moyenne de la fourchette du rapport Ademe 2023.</t>
  </si>
  <si>
    <t>Part potentiel réemploi long terme (%)</t>
  </si>
  <si>
    <t>Part potentiel réemploi 2027 (%)</t>
  </si>
  <si>
    <t>Potentiel réemploi long terme (MUVC)</t>
  </si>
  <si>
    <t>Potentiel réemploi 2027 (MUVC)</t>
  </si>
  <si>
    <t>Ratios (%) Ademe réemploi long terme*</t>
  </si>
  <si>
    <t>Ratios (%) Ademe réemploi 2027*</t>
  </si>
  <si>
    <t>Part UVC verre (%)</t>
  </si>
  <si>
    <t>UVC verre (hors CHR)</t>
  </si>
  <si>
    <t>UVC Normandie (hors CHR)</t>
  </si>
  <si>
    <r>
      <t xml:space="preserve">Tableau : Gisement et potentiel de réemploi à moyen et long terme des emballages alimentaires consommés par les ménages normands </t>
    </r>
    <r>
      <rPr>
        <b/>
        <u/>
        <sz val="11"/>
        <color theme="0"/>
        <rFont val="Calibri"/>
        <family val="2"/>
        <scheme val="minor"/>
      </rPr>
      <t>en millions</t>
    </r>
    <r>
      <rPr>
        <b/>
        <sz val="11"/>
        <color theme="0"/>
        <rFont val="Calibri"/>
        <family val="2"/>
        <scheme val="minor"/>
      </rPr>
      <t xml:space="preserve"> d'UVC  (MUVC)</t>
    </r>
  </si>
  <si>
    <t>Ratio mobilisable facilement 2027 (Ademe)</t>
  </si>
  <si>
    <t>Part UVC verre</t>
  </si>
  <si>
    <t xml:space="preserve">UVC miel </t>
  </si>
  <si>
    <t>UVC autres boissons sans alcool</t>
  </si>
  <si>
    <t>UVC - Jus / Nectar</t>
  </si>
  <si>
    <t>UVC - Champagne / Mousseux</t>
  </si>
  <si>
    <t>UVC - Bière, panaché</t>
  </si>
  <si>
    <t>UVC - Cidre</t>
  </si>
  <si>
    <t>Verre - UVC yaourt</t>
  </si>
  <si>
    <t xml:space="preserve">Verre - UVC miel </t>
  </si>
  <si>
    <t>Verre - UVC autres boissons sans alcool</t>
  </si>
  <si>
    <t>Verre - UVC - Jus / Nectar</t>
  </si>
  <si>
    <t>Verre - UVC - Champagne / Mousseux</t>
  </si>
  <si>
    <t>Verre - UVC - Bière, panaché</t>
  </si>
  <si>
    <t>Verre - UVC - Cidre</t>
  </si>
  <si>
    <t>Ratio régional</t>
  </si>
  <si>
    <t xml:space="preserve">Nombre d'habitants apparents sur consommation moyenne  </t>
  </si>
  <si>
    <t xml:space="preserve">Facteur multiplicateur </t>
  </si>
  <si>
    <t>Indice production de déchets (kg/habitant)</t>
  </si>
  <si>
    <t>Facilement mobilisable à moyen-terme (tous emballages)</t>
  </si>
  <si>
    <t>Part gisement</t>
  </si>
  <si>
    <t>Kilo UVC loi AGEC 2027 petits-producteurs</t>
  </si>
  <si>
    <t xml:space="preserve">Production KUVC petits producteurs </t>
  </si>
  <si>
    <t>Production en KUVC</t>
  </si>
  <si>
    <t>Total petits producteurs</t>
  </si>
  <si>
    <t>NC</t>
  </si>
  <si>
    <t>Cidre (gros producteurs)</t>
  </si>
  <si>
    <t>Cidre (petits producteurs)</t>
  </si>
  <si>
    <t>Pommeau</t>
  </si>
  <si>
    <t>Jus de pomme</t>
  </si>
  <si>
    <t xml:space="preserve">Fûts 
(équivalent 30l) </t>
  </si>
  <si>
    <t>Bouteille 33 cl</t>
  </si>
  <si>
    <t>Bag in Box (équiv. 3l)</t>
  </si>
  <si>
    <t>Bouteille 
1 litre verre</t>
  </si>
  <si>
    <t>Bouteille
75cl</t>
  </si>
  <si>
    <t>Production normande annuelle par type d'UVC et de produit (en kilo UVC)</t>
  </si>
  <si>
    <t>Theil-sur-Huisne</t>
  </si>
  <si>
    <t xml:space="preserve">Livarot </t>
  </si>
  <si>
    <t xml:space="preserve">Sites de production Agrial : </t>
  </si>
  <si>
    <t xml:space="preserve">Hypothèse </t>
  </si>
  <si>
    <t>Jus de pomme (petits producteurs)</t>
  </si>
  <si>
    <t>Production artisanale annuelle par type d'UVC (en millions)</t>
  </si>
  <si>
    <t>??</t>
  </si>
  <si>
    <t>2Mbt</t>
  </si>
  <si>
    <t>5Mbt</t>
  </si>
  <si>
    <t>Cidre :</t>
  </si>
  <si>
    <t>Fûts plastique</t>
  </si>
  <si>
    <t>Fûts 20l</t>
  </si>
  <si>
    <t>33cl</t>
  </si>
  <si>
    <t>1l traiteur</t>
  </si>
  <si>
    <t>75cl basique</t>
  </si>
  <si>
    <t>75cl AOP</t>
  </si>
  <si>
    <t xml:space="preserve">75cl Champenoise </t>
  </si>
  <si>
    <t>Production KUVC "petits" producteur</t>
  </si>
  <si>
    <t xml:space="preserve">KUVC cidre totale </t>
  </si>
  <si>
    <t>Production en litre "petits producteurs" (40 % de la production)</t>
  </si>
  <si>
    <t>Production KUVC équivalent 75cl</t>
  </si>
  <si>
    <t>Facteur multipl</t>
  </si>
  <si>
    <t>Ponderation surfaces 2010</t>
  </si>
  <si>
    <t>Total % UVC</t>
  </si>
  <si>
    <t xml:space="preserve">Part UVC totales </t>
  </si>
  <si>
    <t xml:space="preserve">KiloUVC totales </t>
  </si>
  <si>
    <t>Source : Soleviam 2024</t>
  </si>
  <si>
    <t>Fromage frais</t>
  </si>
  <si>
    <t>Crème</t>
  </si>
  <si>
    <t>Caisse maraîchère 30l</t>
  </si>
  <si>
    <t>Bouteille 1l</t>
  </si>
  <si>
    <t>Œufs boîte de 6</t>
  </si>
  <si>
    <t>Barquettes 500g</t>
  </si>
  <si>
    <t>Bocal pâté 250</t>
  </si>
  <si>
    <t>Caissette 5kg</t>
  </si>
  <si>
    <t>Produits laitiers</t>
  </si>
  <si>
    <t>Maraîchage</t>
  </si>
  <si>
    <t>Oeufs</t>
  </si>
  <si>
    <t xml:space="preserve">Volaille </t>
  </si>
  <si>
    <t>Porcins</t>
  </si>
  <si>
    <t>Bovins V</t>
  </si>
  <si>
    <t>Tableau : Nombre de KUVC utilisés par les circuits courts normands en 2020/21 (en équivalent UVC le plus utilisé)</t>
  </si>
  <si>
    <t>Hypothèse :10 kg pour une caisse maraîchère et zéro réemploi</t>
  </si>
  <si>
    <t>Hypothèse 20 % du CA volaille pour les œufs et 0,35 € prix moyen de vente de l'œuf en CC</t>
  </si>
  <si>
    <t>Hypothèse 1 % des volumes en bocaux porcs et 1,5 % pour les F&amp;L</t>
  </si>
  <si>
    <t xml:space="preserve">Aviculture </t>
  </si>
  <si>
    <t>maraîch</t>
  </si>
  <si>
    <t xml:space="preserve">Porcins </t>
  </si>
  <si>
    <t>Equivalent volume en CC en tonnes</t>
  </si>
  <si>
    <t>Equivalent CA en CC</t>
  </si>
  <si>
    <t>CA filière matière I en M€</t>
  </si>
  <si>
    <t>Nombre d'UVC en CC en équivalent type UVC le plus utilisé</t>
  </si>
  <si>
    <t>Ffrais : 500g</t>
  </si>
  <si>
    <t>UVC</t>
  </si>
  <si>
    <t>Hypothèse 20 % F&amp;L en CC - CTIFL</t>
  </si>
  <si>
    <t>yaourt : 125 g</t>
  </si>
  <si>
    <t>Hypothèse 3 % de la viande bovine, œufs et volaille  en CC Idele 2019</t>
  </si>
  <si>
    <t>Crème : 400 g pot verre</t>
  </si>
  <si>
    <t>Fromages 250g</t>
  </si>
  <si>
    <t>Beurre : 250 g</t>
  </si>
  <si>
    <t xml:space="preserve">environ 80 000 l transformé en CC </t>
  </si>
  <si>
    <t xml:space="preserve">10 % des EA laitières en CC en Normandie </t>
  </si>
  <si>
    <t>volaille œufs</t>
  </si>
  <si>
    <t>Hypothèse 2 % des volumes en CC en lait (hypothèse 80 000 l par EA laitière en CC)</t>
  </si>
  <si>
    <t>Porc</t>
  </si>
  <si>
    <t>Viande bovine</t>
  </si>
  <si>
    <t xml:space="preserve">Fromages frais </t>
  </si>
  <si>
    <t>Total equivalent UVC en CC</t>
  </si>
  <si>
    <t>tonnes en CC (hypothèse 2 % du total des volumes)</t>
  </si>
  <si>
    <t xml:space="preserve">Production normande : </t>
  </si>
  <si>
    <t xml:space="preserve">u moyenne </t>
  </si>
  <si>
    <t>s</t>
  </si>
  <si>
    <t xml:space="preserve">Total : </t>
  </si>
  <si>
    <t xml:space="preserve">UVC totales </t>
  </si>
  <si>
    <t>UVC - caisse - maraîch</t>
  </si>
  <si>
    <t>UVC -maraîch - 1l</t>
  </si>
  <si>
    <t>UVC - boîte- œufs</t>
  </si>
  <si>
    <t>UVC - Caissettes viande</t>
  </si>
  <si>
    <t>UVC barquettes volaille</t>
  </si>
  <si>
    <t>UVC bocal pâté</t>
  </si>
  <si>
    <t xml:space="preserve">UVC - yaourt - circuit - court </t>
  </si>
  <si>
    <t>UVC - Circuit-court - crème</t>
  </si>
  <si>
    <t>Pondération</t>
  </si>
  <si>
    <t>Part des EA en CC</t>
  </si>
  <si>
    <t>EA en CC</t>
  </si>
  <si>
    <t>Nombre EA</t>
  </si>
  <si>
    <t>SAU du canton</t>
  </si>
  <si>
    <t xml:space="preserve">Pondération nombre d'exploitation </t>
  </si>
  <si>
    <t>Part UVC</t>
  </si>
  <si>
    <t>Tableau : Demande en UVC pour la vente à emporter en Normandie en 2023</t>
  </si>
  <si>
    <t>Service à table et selfs</t>
  </si>
  <si>
    <t>Collective</t>
  </si>
  <si>
    <t>Rapide</t>
  </si>
  <si>
    <t>Livraisons</t>
  </si>
  <si>
    <t>Sachets</t>
  </si>
  <si>
    <t>Autres CVA</t>
  </si>
  <si>
    <t xml:space="preserve">Charcuterie </t>
  </si>
  <si>
    <t xml:space="preserve">Pourcentage UVC par type : </t>
  </si>
  <si>
    <t>Boulangerie</t>
  </si>
  <si>
    <t>GMS/Epicerie</t>
  </si>
  <si>
    <t>Part secteur à emporter (%)</t>
  </si>
  <si>
    <t>Total à emporter (millions)</t>
  </si>
  <si>
    <t>Total repas (millions)</t>
  </si>
  <si>
    <t>Part de marché (%)</t>
  </si>
  <si>
    <t>Point de vente</t>
  </si>
  <si>
    <t>Tableau - Répartition du marché de la CHR en Normandie en 2023 par type</t>
  </si>
  <si>
    <t>Repas total à emporter (millions/an)</t>
  </si>
  <si>
    <t>KUVC totales (3bq par repas)</t>
  </si>
  <si>
    <t xml:space="preserve">Equivalent UVC repas complet </t>
  </si>
  <si>
    <t>Repas à emporter en millions par an</t>
  </si>
  <si>
    <t>Part totale</t>
  </si>
  <si>
    <t xml:space="preserve">Population corrigée poids vente à emporter </t>
  </si>
  <si>
    <t xml:space="preserve">Indice Poids vente à emporter </t>
  </si>
  <si>
    <t>densité de population 2020</t>
  </si>
  <si>
    <t xml:space="preserve">Hypothèse facteur de 1 à 5 achats de vente à emporter </t>
  </si>
  <si>
    <t>Etalement coeff de 0,2 à 1</t>
  </si>
  <si>
    <t>Facteur indice x population (distribution d'un facteur 1 à 5 dans la part de vente à emporter selon densité en habitant de l'EPCI)</t>
  </si>
  <si>
    <t>Nombre de repas à emporter (millions/an)</t>
  </si>
  <si>
    <t>Fraction du total</t>
  </si>
  <si>
    <t>Millions UVC totales (3 UVC par repas)</t>
  </si>
  <si>
    <t>Facteur de pondération</t>
  </si>
  <si>
    <t>Demande KUVC (tous confondus)</t>
  </si>
  <si>
    <t>total exploitants</t>
  </si>
  <si>
    <t>Part en cc</t>
  </si>
  <si>
    <t>Total en CC</t>
  </si>
  <si>
    <t xml:space="preserve">Part gisement total </t>
  </si>
  <si>
    <t>UVC totales fermiers</t>
  </si>
  <si>
    <t>Total agriculteurs en CC</t>
  </si>
  <si>
    <t xml:space="preserve">Pondération département </t>
  </si>
  <si>
    <t xml:space="preserve">Facteur </t>
  </si>
  <si>
    <t>KUVC à emporter</t>
  </si>
  <si>
    <t>Total DMA</t>
  </si>
  <si>
    <t>Facteur ratio</t>
  </si>
  <si>
    <t>total</t>
  </si>
  <si>
    <t>KUVC totales (3 UVC par repas)</t>
  </si>
  <si>
    <t>Total KUVC (3 économat par repas)</t>
  </si>
  <si>
    <t>Demande en production KUVC objectifs réemploi loi Agec 2027</t>
  </si>
  <si>
    <t xml:space="preserve">KUVC totales </t>
  </si>
  <si>
    <t>MUVC Normandie (hors CHR)</t>
  </si>
  <si>
    <t>Hypothèse 80 % d'autoconsommation des produits fermiers</t>
  </si>
  <si>
    <t>Ratio lait/yaourt</t>
  </si>
  <si>
    <t>Emballages fixés par EPCI KUVC facilement réemployables en Normandie</t>
  </si>
  <si>
    <t>Total Emballages fixés par EPCI KUVC</t>
  </si>
  <si>
    <t>Consommation KUVC facilement réemployables en Normandie</t>
  </si>
  <si>
    <t>Consommation KUVC en Normandie</t>
  </si>
  <si>
    <t>Demande en production KUVC facilement réemployables (verre et autres contenants facilement réemployables)</t>
  </si>
  <si>
    <t>Demande en production KUVC totales producteurs</t>
  </si>
  <si>
    <t>Déchets - Productions individuelles (2019) Biomasse NORMANDIE</t>
  </si>
  <si>
    <t>population 2020 insee</t>
  </si>
  <si>
    <t>Repérage</t>
  </si>
  <si>
    <t>pop 2020 Insee</t>
  </si>
  <si>
    <t>MIEL-PRODUCTION-NORMANDIE-EPCI</t>
  </si>
  <si>
    <t>TRAITEUR-PRODUCTION-NORMANDIE-EPCI</t>
  </si>
  <si>
    <t>Indice vente à empoter (de 0,2 à 1)</t>
  </si>
  <si>
    <t>BIERE-PRODUCTION-NORMANDIE-EPCI</t>
  </si>
  <si>
    <t>TRAITEUR NORMANDIE</t>
  </si>
  <si>
    <t>INDUSTRIE-LAITIERE-PRODUCTION-EPCI</t>
  </si>
  <si>
    <t>PRODUITS-FERMIERS-PRODUCTION-EN-CIRCUIT-COURT-EPCI</t>
  </si>
  <si>
    <t>CIDRICULTURE-PRODUCTION-EPCI</t>
  </si>
  <si>
    <t>Population des 75 ans ou plus 2019</t>
  </si>
  <si>
    <t>PORTAGE-REPAS-A-DOMICILE-PRODUCTION</t>
  </si>
  <si>
    <t>CONCOMMATION-DES-MENAGES-NORMANDS-EPCI</t>
  </si>
  <si>
    <t>INDUSTRIE-LAITIERE-PRODUCTION-EPCI (KUVC)</t>
  </si>
  <si>
    <t>PRODUITS FERMIERS EN CIRCUIT COURT (KUVC)</t>
  </si>
  <si>
    <t>BIERE NORMANDIE KUVC</t>
  </si>
  <si>
    <t>PRODUITS ACTIVITE CIDRICOLE (KUVC)</t>
  </si>
  <si>
    <t>PORTAGE REPAS A DOMICILE (KUVC)</t>
  </si>
  <si>
    <t>Données de calcul</t>
  </si>
  <si>
    <t>REFERENCES</t>
  </si>
  <si>
    <t>SYNTHESE</t>
  </si>
  <si>
    <t>SYNTHESE-PRODUCTION-CONSOMMATION-EPCI</t>
  </si>
  <si>
    <t>KUVCMiel</t>
  </si>
  <si>
    <t xml:space="preserve">KUVC ind. Lait. </t>
  </si>
  <si>
    <t xml:space="preserve">KUVC fermiers </t>
  </si>
  <si>
    <t xml:space="preserve">KUVC rest. à emporter </t>
  </si>
  <si>
    <t xml:space="preserve">KUVC portage domicile </t>
  </si>
  <si>
    <t xml:space="preserve">KUVC bière </t>
  </si>
  <si>
    <t xml:space="preserve">KUVC cidricole </t>
  </si>
  <si>
    <t xml:space="preserve">KUVCMiel </t>
  </si>
  <si>
    <t xml:space="preserve">KUVC ind. Lait.     </t>
  </si>
  <si>
    <t xml:space="preserve">KUVC fermiers   </t>
  </si>
  <si>
    <t xml:space="preserve">KUVC rest. à emporter    </t>
  </si>
  <si>
    <t xml:space="preserve">KUVC portage domicile    </t>
  </si>
  <si>
    <t xml:space="preserve">KUVC bière    </t>
  </si>
  <si>
    <t xml:space="preserve">KUVC cidricole    </t>
  </si>
  <si>
    <t xml:space="preserve">KUVC totales    </t>
  </si>
  <si>
    <t xml:space="preserve">KUVC ind. Lait.         </t>
  </si>
  <si>
    <t xml:space="preserve">KUVC Miel     </t>
  </si>
  <si>
    <t xml:space="preserve">KUVC fermiers     </t>
  </si>
  <si>
    <t xml:space="preserve">KUVC rest. à emporter      </t>
  </si>
  <si>
    <t xml:space="preserve">KUVC portage domicile     </t>
  </si>
  <si>
    <t xml:space="preserve">KUVC bière      </t>
  </si>
  <si>
    <t xml:space="preserve">KUVC cidricole     </t>
  </si>
  <si>
    <t xml:space="preserve">KUVC totales   </t>
  </si>
  <si>
    <t xml:space="preserve">KUVC Miel   </t>
  </si>
  <si>
    <t xml:space="preserve">KUVC ind. Lait.       </t>
  </si>
  <si>
    <t xml:space="preserve">KUVC fermiers    </t>
  </si>
  <si>
    <t xml:space="preserve">KUVC rest. à emporter         </t>
  </si>
  <si>
    <t xml:space="preserve">KUVC bière         </t>
  </si>
  <si>
    <t xml:space="preserve">KUVC portage domicile       </t>
  </si>
  <si>
    <t xml:space="preserve">KUVC cidricole      </t>
  </si>
  <si>
    <t xml:space="preserve">KUVC totales       </t>
  </si>
  <si>
    <t xml:space="preserve">KUVC Miel       </t>
  </si>
  <si>
    <t xml:space="preserve">KUVC ind. Lait.          </t>
  </si>
  <si>
    <t xml:space="preserve">KUVC fermiers        </t>
  </si>
  <si>
    <t xml:space="preserve">KUVC rest. à emporter        </t>
  </si>
  <si>
    <t xml:space="preserve">KUVC portage domicile        </t>
  </si>
  <si>
    <t xml:space="preserve">KUVC bière        </t>
  </si>
  <si>
    <t xml:space="preserve">KUVC cidricole        </t>
  </si>
  <si>
    <t xml:space="preserve">KUVC totales         </t>
  </si>
  <si>
    <t xml:space="preserve">KUVC Miel        </t>
  </si>
  <si>
    <t xml:space="preserve">KUVC ind. Lait.             </t>
  </si>
  <si>
    <t xml:space="preserve">KUVC fermiers           </t>
  </si>
  <si>
    <t xml:space="preserve">KUVC rest. à emporter           </t>
  </si>
  <si>
    <t xml:space="preserve">KUVC portage domicile           </t>
  </si>
  <si>
    <t xml:space="preserve">KUVC bière           </t>
  </si>
  <si>
    <t xml:space="preserve">KUVC cidricole           </t>
  </si>
  <si>
    <t xml:space="preserve">KUVC totales           </t>
  </si>
  <si>
    <t>Type point de vente</t>
  </si>
  <si>
    <t>Facteur de répartition</t>
  </si>
  <si>
    <t>Limites : l'établissement des gisements à l'échelle fine se fait en affectant le gisement estimé à une échelle plus large par pondération selon différents ratios et facteurs jugés les plus pertinents en vue d'approcher au maximum la réalité. Cette méthode a le mérite d'offrir une vision globale du territoire et de son hétérogénéité. Cette méthode induit cependant certains biais notamment pour l'utilisation des données à une échelle réduite comme celle de l'EPCI. Un gisement issu d'un calcul de répartition par pondération ne présage en rien de sa présence effective en quantité et qualité à l'échelle réduite.</t>
  </si>
  <si>
    <t>EPCI ou zonage 17 territoires selon accès possible aux données</t>
  </si>
  <si>
    <t xml:space="preserve">Pas de conversion données natives exprimées en UVC issues du rapport Ademe 2006 (le plus récent qui utilise l'UVC comme unité de compte à ce niveau de détail). </t>
  </si>
  <si>
    <t xml:space="preserve">L'effet tourisme est pris en compte. Cela signifie qu'une partie de gisement de déchets est saisonnière pour certaines EPCI ayant une activité touristique importante. </t>
  </si>
  <si>
    <t xml:space="preserve">L'année 2019 est une année de référence assez proche (cinq ans) et sans effet Covid contrairement à 2020 et 2021. Les données 2022 et 23 ne sont pas encore disponibles à date (janvier 2024).  </t>
  </si>
  <si>
    <t xml:space="preserve">Répartition par EPCI au prorata de la collecte de déchets DMA (déchets ménagers et assimilés 2019 en kilogramme par habitants et du nombre d'habitants par EPCI. L'effet "tourisme" est donc bien pris en compte dans ces chiffres.  </t>
  </si>
  <si>
    <t xml:space="preserve">Données assez anciennes </t>
  </si>
  <si>
    <t xml:space="preserve">Les données de 2006 sont des données officielles qui présentent un niveau de détail par produit adapté à l'étude avec un comptage en unité de vente consommateurs (UVC) ce qui n'est pas le cas des études Ademe ultérieures qui comptent en poids d'emballages.  </t>
  </si>
  <si>
    <t xml:space="preserve">Données nationales Ademe (Agence de la transition écologique) 2006 exprimées en UVC par type de produit consommé (le gisement des emballages ménagers en France) appliquées au prorata de la population normande. </t>
  </si>
  <si>
    <t>Consommateurs</t>
  </si>
  <si>
    <t xml:space="preserve">Zonage 17 territoires </t>
  </si>
  <si>
    <t>Pas de conversion, données natives exprimées en UVC issues de la maison cidricole normande</t>
  </si>
  <si>
    <t>La répartition ne traduit pas la présence des gros producteurs.</t>
  </si>
  <si>
    <t xml:space="preserve">La vision du gisement ne tient pas compte des gros producteurs car pas de données sur les sites d'implantation et les volumes des gros producteurs. </t>
  </si>
  <si>
    <t xml:space="preserve">Carte de répartition du verger cidricole normand (RGA - 2010) et répartition sur 17 zones. </t>
  </si>
  <si>
    <t xml:space="preserve">Données à dire d'expert qui sont cohérentes avec les données de la filière recueillies par ailleurs. Cependant il ne s'agit pas de données officielles. </t>
  </si>
  <si>
    <t xml:space="preserve">Chiffres issus d'un entretien  réalisé avec le responsable de la maison cidricole normande. </t>
  </si>
  <si>
    <t>Chiffres des nombres de bouteilles cidre, jus, pommeau, calvados, issus de la maison cidricole normande</t>
  </si>
  <si>
    <t>- UVC, répartition avec ratio Soleviam et dire d'experts (40 % des volumes en canettes 33 cl, 25 % en bouteilles de 75 cl, 20 % en fûts acier de 20 l, 10 % en fûts plastiques de 20l, 5 % autres).</t>
  </si>
  <si>
    <t xml:space="preserve">Le travail sur la base d'une moyenne (250 hl par brasserie) induit des biais dans la lecture car localement les brasseries peuvent être en moyennes plus grosses ou plus petites. </t>
  </si>
  <si>
    <t xml:space="preserve">La vision du gisement est affinée par la prise en compte des plus grosses brasseries artisanales. </t>
  </si>
  <si>
    <t>Répartition sur 17 zones selon carte des implantations normandes projet Amertume corrigée des volumes réels pour les 10 plus grosses brasseries (toutes celles qui produisent plus de 1000 Hl).</t>
  </si>
  <si>
    <t xml:space="preserve">La bière artisanale n'a fait aujourd'hui l'objet d'aucune étude séparée (des filières industrielles) quant-à la production en volumes au niveau national ou régional. Les données du projet Amertume sont les seules accessibles pour estimer une moyenne en Normandie. </t>
  </si>
  <si>
    <t>Le projet Amertume est reconnu dans la profession pour tenir à jour un inventaire précis et actualisé des brasseries artisanales et de leurs volumes sur tout le territoire national.</t>
  </si>
  <si>
    <t>Données du projet Amertume Normandie estimation à 250 hl moyenne de production des brasseries normandes pour répartir le gisement global</t>
  </si>
  <si>
    <t>Bière</t>
  </si>
  <si>
    <t>- UVC définies à un nombre de 3 UVC par repas pris à emporter.</t>
  </si>
  <si>
    <t xml:space="preserve">La présence de personnes ayant droit au service ne présage pas de l'activation efective de ce service. Attention à cela pour une lecture à l'échelle réduite sur le territoire. </t>
  </si>
  <si>
    <t xml:space="preserve">Seules les personnes dites dépendantes ou de plus de 65 ans ont le droit d'accès à ce service. </t>
  </si>
  <si>
    <t xml:space="preserve">- Répartition au prorata du nombre de personnes âgées par EPCI normandes (part des 75 ans ou plus par EPCI sur population de l'EPCI)
</t>
  </si>
  <si>
    <t xml:space="preserve">Peu de données sont disponibles pour confirmer les chiffres de Xerfi. </t>
  </si>
  <si>
    <t xml:space="preserve">Il n'a pas été trouvé de données régionales complètes sur les chiffres du portage de repas à domicile. </t>
  </si>
  <si>
    <t>Données nationales Xerfi du chiffre d'affaires 2023 du secteur au prorata de la population normande converti en nombre de repas (10 € par repas, selon Xerfi)</t>
  </si>
  <si>
    <t>Portage domicile</t>
  </si>
  <si>
    <t xml:space="preserve">Chaque habitant est comptabilisé en fonction de son type d'habitat (urbain ou rural) mais pas de ses catégories socio-professionnlles ni de se tranche d'âge. </t>
  </si>
  <si>
    <r>
      <t xml:space="preserve">L'indice Soleviam tient compte des données officielles (INSEE) normandes de temps de transport en minutes en heures pleines pour l'accès aux services. Il s'étage de 0,3 à 0,9 soit d'un facteur un à trois. Il est ainsi estimé que les populations très rurales commandent trois fois moins de repas à emporter que les populations les plus urbaines.  </t>
    </r>
    <r>
      <rPr>
        <b/>
        <sz val="11"/>
        <color theme="1"/>
        <rFont val="Calibri"/>
        <family val="2"/>
        <scheme val="minor"/>
      </rPr>
      <t xml:space="preserve">Possibilité de ne pas appliquer ce coefficient et d'uniformiser toutes les zones.  </t>
    </r>
  </si>
  <si>
    <t xml:space="preserve">- Répartition au prorata du nombre d'habitants par EPCI
- Application d'un coefficient Soleviam des EPCI urbaines et rurales avec base Insee.
</t>
  </si>
  <si>
    <t xml:space="preserve">Il peut exister un biais dans le cas où la population normande consommerait plus ou moins à emporter que la moyenne nationale. </t>
  </si>
  <si>
    <t xml:space="preserve">Il n'a pas été trouvé de données régionales complètes sur les chiffres de la restauration à emporter qui agrège tous les acteurs. Les données nationales de l'étude Gira / FranceAgriMer en revanche sont complètes, fiables et officielles avec un niveau de détail fin de répartition par circuits. </t>
  </si>
  <si>
    <t xml:space="preserve">Données nationales en nombre de repas consommation hors résidence (CHR) (parts d'estomac) (Gira - FranceAgrimer 2018 redressées à 2022 avec un taux de croissance de 10 % entre 2018 et 2022). Au prorata du nombre d'habitants en Normandie.
Extraction du nombre de repas à emporter versus restauration à table. Prise en compte des grandes et moyennes surfaces (GMS, épiceries, boulangerie, charcuterie, livraisons à domicile, restauration rapide, restauration à table et self service, restauration collective, autres CVA (circuits de vente alternatifs : vendeurs ambulants, station service, tabac,  foodtruck, etc…). </t>
  </si>
  <si>
    <t>Rest. à emporter</t>
  </si>
  <si>
    <t>UVC exprimé en équivalent UVC le plus emblématique (6 types) : Caissette 5kg viande, bocal pâté 250 g, bocal soupe 1l, boîte 6 œuf, barquette viande volaille 500g, caissette maraîchère de 30 l</t>
  </si>
  <si>
    <t xml:space="preserve">Le nombre d'exploitants en circuits courts est un facteur indirect pour répartir les volumes d'emballages consommés sur le territoire. </t>
  </si>
  <si>
    <t>Données officelles fiables, officielles avec la finesse de maille attendue (EPCI)</t>
  </si>
  <si>
    <t>- Part des exploitations vendant en circuits-courts par EPCI (Les établissements publics de coopération intercommunale (EPCI))
- Nombre d'exploitants par EPCI, RGA 2020</t>
  </si>
  <si>
    <t>Un écart dans la part des produits agricoles en circuits courts est possible notamment en maraîchage, sachant que le Normandie a une spécialisation de maraîchage en filières longues (poireaux et carottes). Le potentiel en circuit-court est peut-être sur-évalué pour le maraîchage. La spécialisation des zones dan tel ou tel type de production n'a pas été prise en compte.</t>
  </si>
  <si>
    <t xml:space="preserve">Il n'existe pas de données disponibles sur les ventes de produits fermiers en Normandie, ni de ratios sur la part des productions en circuits-courts en volumes. L'estimation s'est faite avec des ratios nationaux (APCA, Idele ou par transposition de ratio d'autres régions du Grand-ouest (CA Pays de la Loire). </t>
  </si>
  <si>
    <t>- Répartition des chiffre d'affaires des produits bruts agricoles en Normandie (moyenne 2016-2020) - Agriscopie 2021 (viande, maraîchage, lait, volaille etc…)
- Ratios de la part des produits en circuits courts par type (Données nationales et régionales APCA (Assemblée permanente des Chambres d'agriculture), Idele (Institut de l'Élevage) et Chambres d'agriculture (CA) des Pays de la Loire). Ces ratios conduisent aux hypothèses : 20 %  de la production en CC en maraîchage, 3 % en viandes et volailles, et 2 % en produits laitiers.</t>
  </si>
  <si>
    <t>UVC exprimé en équivalent UVC le plus emblématique (4 types) : 
- Yaourt 125g (45 % des UVC)
- Crème 400g (13 %)
- Fromages frais 360g (24 %)
- Fromages 250g (17%)</t>
  </si>
  <si>
    <t xml:space="preserve">L'effectif salarié est un critère indirect pour évaluer la demande en emballage. L'idéal aurait été d'avoir les données par EPCI de la présence de l'industrie laitière et des volumes ce qui n'a pas été possible. (Données non communiquées ou absentes). </t>
  </si>
  <si>
    <t xml:space="preserve">La notation soleviam correspond au nombre de salariés de la branche d'activité industrie laitière par arrondissement de département. </t>
  </si>
  <si>
    <t>- Carte de répartition de l'industrie agroalimentaire par effectif salarié (INSEE (L'Institut national de la statistique et des études économiques ), CRAN (Les Chambres d'agriculture de Normandie)), novembre 2022
- Echelle fine (17 zones) : Pondération avec notation Soleviam basée sur les effectifs salariés</t>
  </si>
  <si>
    <t>Les sites laitiers sont spécialisés sur les territoire (fromages, fromages frais, yaourt), cette spécialisation n'a pas pu être prise en compte, le types de produits ont été répartis de façon homogène.</t>
  </si>
  <si>
    <t>Source fiable et officielle (Agreste, Ministère de l'Agriculture) avec données spécifiques pour la Normandie</t>
  </si>
  <si>
    <t>- Agreste enquête annuelle laitière Normandie 2020 (tonnages normands beurre, fromages, crème, fromages frais, yaourt</t>
  </si>
  <si>
    <t xml:space="preserve">Ind. Lait.  </t>
  </si>
  <si>
    <t>- UVC exprimé en équivalent UVC le plus emblématique (1 type) : pot de 500 g de miel (prise en compte uniquement du gisement conditionné (90 %)).</t>
  </si>
  <si>
    <t xml:space="preserve">L'affectation d'un  gisement d'une échelle plus large à une échelle plus fine comporte des biais notamment pour une lecture à petite échelle géographique.  </t>
  </si>
  <si>
    <r>
      <t xml:space="preserve">Pour refléter au mieux le territoire, le coefficient Soleviam répartit le gisement en réduisant le potentiel en milieu urbain et dans les arrondissements de petite taille et inversement. </t>
    </r>
    <r>
      <rPr>
        <b/>
        <sz val="11"/>
        <color theme="1"/>
        <rFont val="Calibri"/>
        <family val="2"/>
        <scheme val="minor"/>
      </rPr>
      <t xml:space="preserve">Possibilité de ne pas appliquer ce coefficient selon la demande de la région et d'uniformiser les zones.  </t>
    </r>
  </si>
  <si>
    <t xml:space="preserve">- RGA (recensement général agricole) 2020 - Données nombre de ruches par département - échelle départementatle -
- Echelle fine (17 zones) : Pondération avec RGA 2010 (Basse-Normandie) et notation Soleviam
</t>
  </si>
  <si>
    <t>Attention démographie des apiculteurs, importations de l'étranger et menaces de mortalité des abeilles et réchauffement climatique pourraient impacter le niveau de production et la demande en emballages</t>
  </si>
  <si>
    <t>Source fiable et officielle (FranceAgriMer) avec données spécifiques pour la Normandie</t>
  </si>
  <si>
    <t>- Etude miel Normandie Agrex consulting / France AgriMer / Données 2019</t>
  </si>
  <si>
    <t>Limites</t>
  </si>
  <si>
    <t>Justification de choix des données (Avantages/Inconvénients)</t>
  </si>
  <si>
    <t>Données utilisées pour répartir le gisement sur le territoire</t>
  </si>
  <si>
    <t>Limites et points de vigilance</t>
  </si>
  <si>
    <t xml:space="preserve">Données utilisées pour évaluer le gisement régional </t>
  </si>
  <si>
    <t xml:space="preserve">Filière étudiée </t>
  </si>
  <si>
    <t xml:space="preserve">Finesse des données (maille) </t>
  </si>
  <si>
    <t>Méthode de transposition des données en UVC (unités de vente consommateurs)</t>
  </si>
  <si>
    <t xml:space="preserve">Méthode de répartition du gisement sur le territoire </t>
  </si>
  <si>
    <t>Méthode d'évaluation du gisement régional</t>
  </si>
  <si>
    <t xml:space="preserve">Produits fermiers </t>
  </si>
  <si>
    <t>Autres CVA*</t>
  </si>
  <si>
    <t xml:space="preserve">* CVA : circuits de vente alternatifs : vendeurs ambulants, station service, tabac,  foodtruck, etc…). </t>
  </si>
  <si>
    <t>Répartition traiteur en Normandie par département en KUVC / an</t>
  </si>
  <si>
    <t>Tableau des volumes normands de miel (2022) et KUVC répartis par circuits</t>
  </si>
  <si>
    <t>KUVC Bière</t>
  </si>
  <si>
    <t>Colonne2</t>
  </si>
  <si>
    <t>Colonne3</t>
  </si>
  <si>
    <t>Colonne4</t>
  </si>
  <si>
    <t>Colonne5</t>
  </si>
  <si>
    <t>Colonne6</t>
  </si>
  <si>
    <t>Colonne7</t>
  </si>
  <si>
    <t>Miel Total Kilo UVC 2022</t>
  </si>
  <si>
    <t>Demande en production KUVC facilement réemployables (verre et autres contenants facilement réemployables (FR))</t>
  </si>
  <si>
    <t>KUVC ind. Lait. (FR)</t>
  </si>
  <si>
    <t>KUVCMiel (FR)</t>
  </si>
  <si>
    <t>KUVC fermiers (FR)</t>
  </si>
  <si>
    <t>KUVC rest. à emporter (FR)</t>
  </si>
  <si>
    <t>KUVC portage domicile (FR)</t>
  </si>
  <si>
    <t>KUVC bière (FR)</t>
  </si>
  <si>
    <t>KUVC cidricole (FR)</t>
  </si>
  <si>
    <t>KUVC totales (FR)</t>
  </si>
  <si>
    <t>KUVCMiel Agec 2027</t>
  </si>
  <si>
    <t>KUVC ind. Lait. Agec 2027</t>
  </si>
  <si>
    <t>KUVC fermiers Agec 2027</t>
  </si>
  <si>
    <t>KUVC rest. à emporter Agec 2027</t>
  </si>
  <si>
    <t>KUVC portage domicile Agec 2027</t>
  </si>
  <si>
    <t>KUVC bière Agec 2027</t>
  </si>
  <si>
    <t xml:space="preserve">KUVC cidricole Agec 2027    </t>
  </si>
  <si>
    <t>KUVC totales Agec 2027</t>
  </si>
  <si>
    <t>KUVC Miel Conso</t>
  </si>
  <si>
    <t>KUVC ind. Lait.  Conso</t>
  </si>
  <si>
    <t>KUVC fermiers   Conso</t>
  </si>
  <si>
    <t>KUVC rest. à emporter  Conso</t>
  </si>
  <si>
    <t>KUVC portage domicile  Conso</t>
  </si>
  <si>
    <t>KUVC bière  Conso</t>
  </si>
  <si>
    <t>KUVC cidricole  Conso</t>
  </si>
  <si>
    <t>KUVC totales  Conso</t>
  </si>
  <si>
    <t>KUVC Miel   Conso FR</t>
  </si>
  <si>
    <t>KUVC ind. Lait.  Conso FR</t>
  </si>
  <si>
    <t>KUVC fermiers Conso FR</t>
  </si>
  <si>
    <t>KUVC rest. à emporter Conso FR</t>
  </si>
  <si>
    <t>KUVC portage domicile Conso FR</t>
  </si>
  <si>
    <t>KUVC bière  Conso FR</t>
  </si>
  <si>
    <t>KUVC cidricole  Conso FR</t>
  </si>
  <si>
    <t>KUVC totales  Conso FR</t>
  </si>
  <si>
    <t>KUVC Miel fixés FR</t>
  </si>
  <si>
    <t xml:space="preserve">KUVC totales  fixées             </t>
  </si>
  <si>
    <t xml:space="preserve">KUVC cidricole  fixées            </t>
  </si>
  <si>
    <t xml:space="preserve">KUVC bière  fixées           </t>
  </si>
  <si>
    <t xml:space="preserve">KUVC portage domicile  fixées            </t>
  </si>
  <si>
    <t xml:space="preserve">KUVC rest. à emporter fixées            </t>
  </si>
  <si>
    <t xml:space="preserve">KUVC fermiers  fixeés            </t>
  </si>
  <si>
    <t xml:space="preserve">KUVC ind. Lait.  fixées              </t>
  </si>
  <si>
    <t xml:space="preserve">KUVC Miel fixées       </t>
  </si>
  <si>
    <t>KUVC totales fixées FR</t>
  </si>
  <si>
    <t>KUVC cidricole fixées FR</t>
  </si>
  <si>
    <t>KUVC bière fixées FR</t>
  </si>
  <si>
    <t>KUVC portage domicile fixées FR</t>
  </si>
  <si>
    <t>KUVC rest. à emporter fixées FR</t>
  </si>
  <si>
    <t>KUVC fermiers fixées FR</t>
  </si>
  <si>
    <t>KUVC ind. Lait. fixées FR</t>
  </si>
  <si>
    <t>Moyenne EPCI</t>
  </si>
  <si>
    <t>Minimum</t>
  </si>
  <si>
    <t xml:space="preserve">Maximum </t>
  </si>
  <si>
    <t xml:space="preserve">hypothèse 80 % d'autoconsommation des produits fermiers </t>
  </si>
  <si>
    <t xml:space="preserve">Kilo UVC (KUVC) consommées totales </t>
  </si>
  <si>
    <t>KUVC - Cidre</t>
  </si>
  <si>
    <t>KUVC Ind. Lait</t>
  </si>
  <si>
    <t xml:space="preserve">KUVC miel </t>
  </si>
  <si>
    <t>KUVC autres boissons sans alcool</t>
  </si>
  <si>
    <t>KUVC - Jus / Nectar</t>
  </si>
  <si>
    <t>KUVC - Champagne / Mousseux</t>
  </si>
  <si>
    <t>KUVC - Bière, panaché</t>
  </si>
  <si>
    <t>MUVC FACILEMENT REEMPLOYABLES (FR)</t>
  </si>
  <si>
    <t>KUVC Cidre  (FR)</t>
  </si>
  <si>
    <t>KUVC Bière panaché (FR)</t>
  </si>
  <si>
    <t>KUVC fermiers  (FR)</t>
  </si>
  <si>
    <t>KUVC Champagne Mousseux  (FR)</t>
  </si>
  <si>
    <t>KUVC Jus Nectar (FR)</t>
  </si>
  <si>
    <t>KUVC autres boissons sans alcool (FR)</t>
  </si>
  <si>
    <t>KUVC miel (FR)</t>
  </si>
  <si>
    <t>KUVC Ind Lait  (FR)</t>
  </si>
  <si>
    <t>Produits fermiers</t>
  </si>
  <si>
    <t>Ind. Lait</t>
  </si>
  <si>
    <t>Ratio FR</t>
  </si>
  <si>
    <t>Total repas/an</t>
  </si>
  <si>
    <t>CA lisieux Normandie</t>
  </si>
  <si>
    <t>CC lyons Andelle</t>
  </si>
  <si>
    <t>CC lieuvin Pays d'Auge</t>
  </si>
  <si>
    <t>CA Saint-lô Agglo</t>
  </si>
  <si>
    <t>CC des Pays de l'Aigle</t>
  </si>
  <si>
    <t>CC de londinières</t>
  </si>
  <si>
    <t>CA Fécamp Caux littoral Agglomération</t>
  </si>
  <si>
    <t>CU le Havre Seine Métropole</t>
  </si>
  <si>
    <t>KUVC rest. à emporter / traiteur</t>
  </si>
  <si>
    <t>Emballages fixés par EPCI KUVC facilement réemployables (FR) en Normandie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</si>
</sst>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_€_-;\-* #,##0.00\ _€_-;_-* &quot;-&quot;??\ _€_-;_-@_-"/>
    <numFmt numFmtId="165" formatCode="_-* #,##0.0\ _€_-;\-* #,##0.0\ _€_-;_-* &quot;-&quot;??\ _€_-;_-@_-"/>
    <numFmt numFmtId="166" formatCode="0.000"/>
    <numFmt numFmtId="167" formatCode="0.0"/>
    <numFmt numFmtId="168" formatCode="#,##0.00\ &quot;€&quot;"/>
    <numFmt numFmtId="169" formatCode="_-* #,##0.0\ _€_-;\-* #,##0.0\ _€_-;_-* &quot;-&quot;?\ _€_-;_-@_-"/>
    <numFmt numFmtId="170" formatCode="_-* #,##0.000\ _€_-;\-* #,##0.000\ _€_-;_-* &quot;-&quot;?\ _€_-;_-@_-"/>
    <numFmt numFmtId="171" formatCode="_-* #,##0.000\ _€_-;\-* #,##0.000\ _€_-;_-* &quot;-&quot;???\ _€_-;_-@_-"/>
  </numFmts>
  <fonts count="23">
    <font>
      <sz val="12"/>
      <name val="Calibri"/>
    </font>
    <font>
      <sz val="11"/>
      <color theme="1"/>
      <name val="Calibri"/>
      <family val="2"/>
      <scheme val="minor"/>
    </font>
    <font>
      <sz val="11"/>
      <color theme="1"/>
      <name val="Calibri"/>
      <family val="2"/>
      <scheme val="minor"/>
    </font>
    <font>
      <sz val="11"/>
      <color theme="1"/>
      <name val="Calibri"/>
      <family val="2"/>
      <scheme val="minor"/>
    </font>
    <font>
      <b/>
      <sz val="12"/>
      <name val="Calibri"/>
    </font>
    <font>
      <b/>
      <sz val="11"/>
      <color theme="0"/>
      <name val="Calibri"/>
      <family val="2"/>
      <scheme val="minor"/>
    </font>
    <font>
      <b/>
      <sz val="11"/>
      <color theme="1"/>
      <name val="Calibri"/>
      <family val="2"/>
      <scheme val="minor"/>
    </font>
    <font>
      <sz val="10"/>
      <name val="Arial"/>
      <family val="2"/>
    </font>
    <font>
      <b/>
      <sz val="10"/>
      <name val="Futura Book"/>
      <family val="2"/>
    </font>
    <font>
      <b/>
      <sz val="10"/>
      <color rgb="FF000000"/>
      <name val="Arial"/>
      <family val="2"/>
    </font>
    <font>
      <sz val="10"/>
      <color rgb="FF000000"/>
      <name val="Arial"/>
      <family val="2"/>
    </font>
    <font>
      <sz val="11"/>
      <color theme="4"/>
      <name val="Calibri"/>
      <family val="2"/>
      <scheme val="minor"/>
    </font>
    <font>
      <b/>
      <sz val="14"/>
      <color theme="0"/>
      <name val="Calibri"/>
      <family val="2"/>
      <scheme val="minor"/>
    </font>
    <font>
      <b/>
      <sz val="11"/>
      <color theme="4" tint="-0.249977111117893"/>
      <name val="Calibri"/>
      <family val="2"/>
      <scheme val="minor"/>
    </font>
    <font>
      <b/>
      <u/>
      <sz val="11"/>
      <color theme="0"/>
      <name val="Calibri"/>
      <family val="2"/>
      <scheme val="minor"/>
    </font>
    <font>
      <sz val="10"/>
      <color theme="1"/>
      <name val="Calibri"/>
      <family val="2"/>
      <scheme val="minor"/>
    </font>
    <font>
      <b/>
      <sz val="12"/>
      <name val="Calibri"/>
      <family val="2"/>
    </font>
    <font>
      <sz val="12"/>
      <name val="Calibri"/>
      <family val="2"/>
    </font>
    <font>
      <sz val="8"/>
      <name val="Calibri"/>
    </font>
    <font>
      <sz val="12"/>
      <color theme="1"/>
      <name val="Calibri"/>
      <family val="2"/>
    </font>
    <font>
      <b/>
      <sz val="12"/>
      <color theme="0"/>
      <name val="Calibri"/>
      <family val="2"/>
    </font>
    <font>
      <b/>
      <sz val="12"/>
      <color theme="1"/>
      <name val="Calibri"/>
      <family val="2"/>
    </font>
    <font>
      <sz val="10"/>
      <color theme="0"/>
      <name val="Arial"/>
      <family val="2"/>
    </font>
  </fonts>
  <fills count="9">
    <fill>
      <patternFill patternType="none"/>
    </fill>
    <fill>
      <patternFill patternType="gray125"/>
    </fill>
    <fill>
      <patternFill patternType="solid">
        <fgColor theme="4"/>
        <bgColor theme="4"/>
      </patternFill>
    </fill>
    <fill>
      <patternFill patternType="solid">
        <fgColor theme="2"/>
        <bgColor indexed="64"/>
      </patternFill>
    </fill>
    <fill>
      <patternFill patternType="solid">
        <fgColor theme="0"/>
        <bgColor indexed="64"/>
      </patternFill>
    </fill>
    <fill>
      <patternFill patternType="solid">
        <fgColor theme="0"/>
        <bgColor theme="4"/>
      </patternFill>
    </fill>
    <fill>
      <patternFill patternType="solid">
        <fgColor theme="6"/>
        <bgColor indexed="64"/>
      </patternFill>
    </fill>
    <fill>
      <patternFill patternType="solid">
        <fgColor theme="0" tint="-0.14999847407452621"/>
        <bgColor indexed="64"/>
      </patternFill>
    </fill>
    <fill>
      <patternFill patternType="solid">
        <fgColor theme="9" tint="0.39997558519241921"/>
        <bgColor indexed="65"/>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theme="4"/>
      </top>
      <bottom/>
      <diagonal/>
    </border>
    <border>
      <left/>
      <right/>
      <top style="thin">
        <color theme="4"/>
      </top>
      <bottom style="thin">
        <color theme="4"/>
      </bottom>
      <diagonal/>
    </border>
    <border>
      <left/>
      <right style="thin">
        <color theme="4"/>
      </right>
      <top style="thin">
        <color theme="4"/>
      </top>
      <bottom style="thin">
        <color theme="4"/>
      </bottom>
      <diagonal/>
    </border>
    <border>
      <left/>
      <right/>
      <top/>
      <bottom style="thin">
        <color theme="4"/>
      </bottom>
      <diagonal/>
    </border>
  </borders>
  <cellStyleXfs count="5">
    <xf numFmtId="0" fontId="0" fillId="0" borderId="0"/>
    <xf numFmtId="164" fontId="7" fillId="0" borderId="0" applyFont="0" applyFill="0" applyBorder="0" applyAlignment="0" applyProtection="0"/>
    <xf numFmtId="0" fontId="3" fillId="0" borderId="0"/>
    <xf numFmtId="0" fontId="2" fillId="8" borderId="0" applyNumberFormat="0" applyBorder="0" applyAlignment="0" applyProtection="0"/>
    <xf numFmtId="0" fontId="2" fillId="0" borderId="0"/>
  </cellStyleXfs>
  <cellXfs count="179">
    <xf numFmtId="0" fontId="0" fillId="0" borderId="0" xfId="0"/>
    <xf numFmtId="0" fontId="4" fillId="0" borderId="0" xfId="0" applyFont="1"/>
    <xf numFmtId="164" fontId="8" fillId="0" borderId="1" xfId="1" applyFont="1" applyFill="1" applyBorder="1" applyAlignment="1">
      <alignment horizontal="center" vertical="center"/>
    </xf>
    <xf numFmtId="0" fontId="0" fillId="0" borderId="2" xfId="0" applyBorder="1"/>
    <xf numFmtId="0" fontId="0" fillId="0" borderId="1" xfId="0" applyBorder="1"/>
    <xf numFmtId="0" fontId="3" fillId="0" borderId="0" xfId="2"/>
    <xf numFmtId="1" fontId="3" fillId="0" borderId="0" xfId="2" applyNumberFormat="1"/>
    <xf numFmtId="2" fontId="3" fillId="0" borderId="0" xfId="2" applyNumberFormat="1"/>
    <xf numFmtId="1" fontId="6" fillId="0" borderId="1" xfId="2" applyNumberFormat="1" applyFont="1" applyBorder="1"/>
    <xf numFmtId="0" fontId="6" fillId="0" borderId="1" xfId="2" applyFont="1" applyBorder="1"/>
    <xf numFmtId="1" fontId="3" fillId="0" borderId="1" xfId="2" applyNumberFormat="1" applyBorder="1"/>
    <xf numFmtId="0" fontId="3" fillId="0" borderId="1" xfId="2" applyBorder="1"/>
    <xf numFmtId="0" fontId="5" fillId="2" borderId="1" xfId="2" applyFont="1" applyFill="1" applyBorder="1" applyAlignment="1">
      <alignment vertical="top" wrapText="1"/>
    </xf>
    <xf numFmtId="3" fontId="3" fillId="0" borderId="0" xfId="2" applyNumberFormat="1"/>
    <xf numFmtId="2" fontId="6" fillId="0" borderId="1" xfId="2" applyNumberFormat="1" applyFont="1" applyBorder="1"/>
    <xf numFmtId="0" fontId="9" fillId="0" borderId="1" xfId="2" applyFont="1" applyBorder="1" applyAlignment="1">
      <alignment horizontal="left" vertical="center" wrapText="1"/>
    </xf>
    <xf numFmtId="2" fontId="3" fillId="0" borderId="1" xfId="2" applyNumberFormat="1" applyBorder="1"/>
    <xf numFmtId="2" fontId="10" fillId="0" borderId="1" xfId="2" applyNumberFormat="1" applyFont="1" applyBorder="1" applyAlignment="1">
      <alignment horizontal="right" vertical="center" wrapText="1"/>
    </xf>
    <xf numFmtId="3" fontId="10" fillId="0" borderId="1" xfId="2" applyNumberFormat="1" applyFont="1" applyBorder="1" applyAlignment="1">
      <alignment horizontal="right" vertical="center" wrapText="1"/>
    </xf>
    <xf numFmtId="0" fontId="10" fillId="0" borderId="1" xfId="2" applyFont="1" applyBorder="1" applyAlignment="1">
      <alignment horizontal="left" vertical="center" wrapText="1"/>
    </xf>
    <xf numFmtId="0" fontId="10" fillId="0" borderId="0" xfId="2" applyFont="1" applyAlignment="1">
      <alignment horizontal="center" vertical="center" wrapText="1"/>
    </xf>
    <xf numFmtId="0" fontId="10" fillId="0" borderId="0" xfId="2" applyFont="1" applyAlignment="1">
      <alignment horizontal="left" vertical="center" wrapText="1"/>
    </xf>
    <xf numFmtId="0" fontId="5" fillId="2" borderId="6" xfId="2" applyFont="1" applyFill="1" applyBorder="1" applyAlignment="1">
      <alignment vertical="top" wrapText="1"/>
    </xf>
    <xf numFmtId="1" fontId="10" fillId="0" borderId="0" xfId="2" applyNumberFormat="1" applyFont="1" applyAlignment="1">
      <alignment horizontal="center" vertical="center" wrapText="1"/>
    </xf>
    <xf numFmtId="0" fontId="3" fillId="0" borderId="8" xfId="2" applyBorder="1"/>
    <xf numFmtId="0" fontId="3" fillId="0" borderId="3" xfId="2" applyBorder="1"/>
    <xf numFmtId="0" fontId="3" fillId="0" borderId="10" xfId="2" applyBorder="1" applyAlignment="1">
      <alignment wrapText="1"/>
    </xf>
    <xf numFmtId="0" fontId="11" fillId="0" borderId="11" xfId="2" applyFont="1" applyBorder="1" applyAlignment="1">
      <alignment wrapText="1"/>
    </xf>
    <xf numFmtId="0" fontId="3" fillId="0" borderId="0" xfId="2" applyAlignment="1">
      <alignment wrapText="1"/>
    </xf>
    <xf numFmtId="3" fontId="10" fillId="0" borderId="0" xfId="2" applyNumberFormat="1" applyFont="1" applyAlignment="1">
      <alignment horizontal="right" vertical="center" wrapText="1"/>
    </xf>
    <xf numFmtId="1" fontId="3" fillId="3" borderId="1" xfId="2" applyNumberFormat="1" applyFill="1" applyBorder="1"/>
    <xf numFmtId="0" fontId="3" fillId="4" borderId="0" xfId="2" applyFill="1"/>
    <xf numFmtId="0" fontId="12" fillId="5" borderId="0" xfId="2" applyFont="1" applyFill="1" applyAlignment="1">
      <alignment vertical="top" wrapText="1"/>
    </xf>
    <xf numFmtId="0" fontId="3" fillId="3" borderId="1" xfId="2" applyFill="1" applyBorder="1"/>
    <xf numFmtId="4" fontId="10" fillId="0" borderId="0" xfId="2" applyNumberFormat="1" applyFont="1" applyAlignment="1">
      <alignment horizontal="right" vertical="center" wrapText="1"/>
    </xf>
    <xf numFmtId="0" fontId="5" fillId="2" borderId="1" xfId="2" applyFont="1" applyFill="1" applyBorder="1" applyAlignment="1">
      <alignment wrapText="1"/>
    </xf>
    <xf numFmtId="0" fontId="6" fillId="3" borderId="1" xfId="2" applyFont="1" applyFill="1" applyBorder="1"/>
    <xf numFmtId="1" fontId="6" fillId="3" borderId="1" xfId="2" applyNumberFormat="1" applyFont="1" applyFill="1" applyBorder="1"/>
    <xf numFmtId="166" fontId="3" fillId="0" borderId="1" xfId="2" applyNumberFormat="1" applyBorder="1"/>
    <xf numFmtId="0" fontId="3" fillId="6" borderId="1" xfId="2" applyFill="1" applyBorder="1"/>
    <xf numFmtId="1" fontId="3" fillId="6" borderId="1" xfId="2" applyNumberFormat="1" applyFill="1" applyBorder="1" applyAlignment="1">
      <alignment horizontal="center" vertical="center"/>
    </xf>
    <xf numFmtId="1" fontId="3" fillId="0" borderId="1" xfId="2" applyNumberFormat="1" applyBorder="1" applyAlignment="1">
      <alignment horizontal="center" vertical="center"/>
    </xf>
    <xf numFmtId="1" fontId="3" fillId="0" borderId="1" xfId="2" quotePrefix="1" applyNumberFormat="1" applyBorder="1" applyAlignment="1">
      <alignment wrapText="1"/>
    </xf>
    <xf numFmtId="0" fontId="3" fillId="0" borderId="1" xfId="2" applyBorder="1" applyAlignment="1">
      <alignment horizontal="center" vertical="center"/>
    </xf>
    <xf numFmtId="1" fontId="6" fillId="0" borderId="7" xfId="2" applyNumberFormat="1" applyFont="1" applyBorder="1"/>
    <xf numFmtId="1" fontId="6" fillId="0" borderId="6" xfId="2" applyNumberFormat="1" applyFont="1" applyBorder="1"/>
    <xf numFmtId="1" fontId="3" fillId="0" borderId="5" xfId="2" applyNumberFormat="1" applyBorder="1"/>
    <xf numFmtId="2" fontId="3" fillId="0" borderId="5" xfId="2" applyNumberFormat="1" applyBorder="1"/>
    <xf numFmtId="0" fontId="3" fillId="0" borderId="9" xfId="2" applyBorder="1" applyAlignment="1">
      <alignment horizontal="justify" vertical="top" wrapText="1"/>
    </xf>
    <xf numFmtId="0" fontId="3" fillId="0" borderId="10" xfId="2" applyBorder="1" applyAlignment="1">
      <alignment horizontal="justify" vertical="top" wrapText="1"/>
    </xf>
    <xf numFmtId="0" fontId="3" fillId="0" borderId="11" xfId="2" applyBorder="1" applyAlignment="1">
      <alignment horizontal="justify" vertical="top" wrapText="1"/>
    </xf>
    <xf numFmtId="2" fontId="3" fillId="3" borderId="1" xfId="2" applyNumberFormat="1" applyFill="1" applyBorder="1"/>
    <xf numFmtId="0" fontId="3" fillId="0" borderId="1" xfId="2" applyBorder="1" applyAlignment="1">
      <alignment wrapText="1"/>
    </xf>
    <xf numFmtId="10" fontId="5" fillId="2" borderId="1" xfId="2" applyNumberFormat="1" applyFont="1" applyFill="1" applyBorder="1" applyAlignment="1">
      <alignment vertical="top" wrapText="1"/>
    </xf>
    <xf numFmtId="9" fontId="3" fillId="0" borderId="1" xfId="2" applyNumberFormat="1" applyBorder="1"/>
    <xf numFmtId="0" fontId="5" fillId="2" borderId="15" xfId="2" applyFont="1" applyFill="1" applyBorder="1" applyAlignment="1">
      <alignment vertical="top" wrapText="1"/>
    </xf>
    <xf numFmtId="0" fontId="5" fillId="2" borderId="0" xfId="2" applyFont="1" applyFill="1" applyAlignment="1">
      <alignment horizontal="center" vertical="top" wrapText="1"/>
    </xf>
    <xf numFmtId="0" fontId="3" fillId="7" borderId="1" xfId="2" applyFill="1" applyBorder="1"/>
    <xf numFmtId="10" fontId="5" fillId="2" borderId="15" xfId="2" applyNumberFormat="1" applyFont="1" applyFill="1" applyBorder="1" applyAlignment="1">
      <alignment vertical="top" wrapText="1"/>
    </xf>
    <xf numFmtId="167" fontId="3" fillId="3" borderId="3" xfId="2" applyNumberFormat="1" applyFill="1" applyBorder="1"/>
    <xf numFmtId="167" fontId="3" fillId="3" borderId="5" xfId="2" applyNumberFormat="1" applyFill="1" applyBorder="1"/>
    <xf numFmtId="167" fontId="3" fillId="0" borderId="5" xfId="2" applyNumberFormat="1" applyBorder="1"/>
    <xf numFmtId="167" fontId="3" fillId="0" borderId="3" xfId="2" applyNumberFormat="1" applyBorder="1"/>
    <xf numFmtId="1" fontId="6" fillId="3" borderId="3" xfId="2" applyNumberFormat="1" applyFont="1" applyFill="1" applyBorder="1"/>
    <xf numFmtId="1" fontId="6" fillId="3" borderId="4" xfId="2" applyNumberFormat="1" applyFont="1" applyFill="1" applyBorder="1"/>
    <xf numFmtId="1" fontId="3" fillId="3" borderId="5" xfId="2" applyNumberFormat="1" applyFill="1" applyBorder="1"/>
    <xf numFmtId="1" fontId="6" fillId="0" borderId="5" xfId="2" applyNumberFormat="1" applyFont="1" applyBorder="1"/>
    <xf numFmtId="167" fontId="3" fillId="0" borderId="6" xfId="2" applyNumberFormat="1" applyBorder="1"/>
    <xf numFmtId="167" fontId="3" fillId="0" borderId="1" xfId="2" applyNumberFormat="1" applyBorder="1"/>
    <xf numFmtId="1" fontId="3" fillId="0" borderId="6" xfId="2" applyNumberFormat="1" applyBorder="1"/>
    <xf numFmtId="1" fontId="3" fillId="0" borderId="7" xfId="2" applyNumberFormat="1" applyBorder="1"/>
    <xf numFmtId="167" fontId="3" fillId="0" borderId="0" xfId="2" applyNumberFormat="1"/>
    <xf numFmtId="168" fontId="3" fillId="0" borderId="0" xfId="2" applyNumberFormat="1"/>
    <xf numFmtId="166" fontId="3" fillId="0" borderId="0" xfId="2" applyNumberFormat="1"/>
    <xf numFmtId="0" fontId="3" fillId="0" borderId="1" xfId="2" applyBorder="1" applyAlignment="1">
      <alignment horizontal="right"/>
    </xf>
    <xf numFmtId="1" fontId="3" fillId="0" borderId="1" xfId="2" applyNumberFormat="1" applyBorder="1" applyAlignment="1">
      <alignment horizontal="right"/>
    </xf>
    <xf numFmtId="168" fontId="3" fillId="0" borderId="1" xfId="2" applyNumberFormat="1" applyBorder="1"/>
    <xf numFmtId="168" fontId="3" fillId="0" borderId="1" xfId="2" applyNumberFormat="1" applyBorder="1" applyAlignment="1">
      <alignment wrapText="1"/>
    </xf>
    <xf numFmtId="168" fontId="3" fillId="0" borderId="0" xfId="2" applyNumberFormat="1" applyAlignment="1">
      <alignment wrapText="1"/>
    </xf>
    <xf numFmtId="0" fontId="3" fillId="0" borderId="10" xfId="2" applyBorder="1"/>
    <xf numFmtId="1" fontId="3" fillId="6" borderId="1" xfId="2" applyNumberFormat="1" applyFill="1" applyBorder="1"/>
    <xf numFmtId="0" fontId="5" fillId="2" borderId="10" xfId="2" applyFont="1" applyFill="1" applyBorder="1" applyAlignment="1">
      <alignment vertical="top" wrapText="1"/>
    </xf>
    <xf numFmtId="2" fontId="10" fillId="0" borderId="0" xfId="2" applyNumberFormat="1" applyFont="1" applyAlignment="1">
      <alignment horizontal="right" vertical="center" wrapText="1"/>
    </xf>
    <xf numFmtId="0" fontId="5" fillId="2" borderId="2" xfId="2" applyFont="1" applyFill="1" applyBorder="1" applyAlignment="1">
      <alignment vertical="top" wrapText="1"/>
    </xf>
    <xf numFmtId="9" fontId="3" fillId="0" borderId="0" xfId="2" applyNumberFormat="1"/>
    <xf numFmtId="0" fontId="16" fillId="0" borderId="0" xfId="0" applyFont="1"/>
    <xf numFmtId="0" fontId="17" fillId="0" borderId="0" xfId="0" applyFont="1"/>
    <xf numFmtId="1" fontId="0" fillId="0" borderId="0" xfId="0" applyNumberFormat="1"/>
    <xf numFmtId="1" fontId="0" fillId="0" borderId="1" xfId="0" applyNumberFormat="1" applyBorder="1"/>
    <xf numFmtId="2" fontId="0" fillId="0" borderId="1" xfId="0" applyNumberFormat="1" applyBorder="1"/>
    <xf numFmtId="0" fontId="6" fillId="0" borderId="0" xfId="2" applyFont="1"/>
    <xf numFmtId="169" fontId="0" fillId="0" borderId="0" xfId="0" applyNumberFormat="1"/>
    <xf numFmtId="170" fontId="0" fillId="0" borderId="0" xfId="0" applyNumberFormat="1"/>
    <xf numFmtId="165" fontId="0" fillId="0" borderId="0" xfId="0" applyNumberFormat="1"/>
    <xf numFmtId="0" fontId="19" fillId="0" borderId="16" xfId="0" applyFont="1" applyBorder="1"/>
    <xf numFmtId="0" fontId="21" fillId="0" borderId="16" xfId="0" applyFont="1" applyBorder="1"/>
    <xf numFmtId="0" fontId="0" fillId="0" borderId="1" xfId="0" applyBorder="1" applyAlignment="1">
      <alignment horizontal="center" vertical="top" wrapText="1"/>
    </xf>
    <xf numFmtId="0" fontId="8" fillId="0" borderId="1" xfId="1" applyNumberFormat="1" applyFont="1" applyFill="1" applyBorder="1" applyAlignment="1">
      <alignment horizontal="center" vertical="top" wrapText="1"/>
    </xf>
    <xf numFmtId="0" fontId="0" fillId="0" borderId="0" xfId="0" applyAlignment="1">
      <alignment horizontal="center" vertical="top" wrapText="1"/>
    </xf>
    <xf numFmtId="0" fontId="0" fillId="0" borderId="1" xfId="0" applyBorder="1" applyAlignment="1">
      <alignment vertical="top"/>
    </xf>
    <xf numFmtId="0" fontId="0" fillId="0" borderId="0" xfId="0" applyAlignment="1">
      <alignment vertical="top"/>
    </xf>
    <xf numFmtId="0" fontId="17" fillId="0" borderId="1" xfId="0" applyFont="1" applyBorder="1" applyAlignment="1">
      <alignment vertical="top"/>
    </xf>
    <xf numFmtId="0" fontId="0" fillId="0" borderId="0" xfId="0" applyAlignment="1">
      <alignment wrapText="1"/>
    </xf>
    <xf numFmtId="0" fontId="17" fillId="0" borderId="1" xfId="0" applyFont="1" applyBorder="1" applyAlignment="1">
      <alignment horizontal="center" vertical="top" wrapText="1"/>
    </xf>
    <xf numFmtId="170" fontId="16" fillId="0" borderId="0" xfId="0" applyNumberFormat="1" applyFont="1"/>
    <xf numFmtId="0" fontId="20" fillId="2" borderId="1" xfId="0" applyFont="1" applyFill="1" applyBorder="1" applyAlignment="1">
      <alignment horizontal="center" vertical="top" wrapText="1"/>
    </xf>
    <xf numFmtId="0" fontId="19" fillId="0" borderId="0" xfId="0" applyFont="1"/>
    <xf numFmtId="0" fontId="5" fillId="2" borderId="10" xfId="2" quotePrefix="1" applyFont="1" applyFill="1" applyBorder="1" applyAlignment="1">
      <alignment vertical="top" wrapText="1"/>
    </xf>
    <xf numFmtId="0" fontId="2" fillId="0" borderId="0" xfId="2" applyFont="1"/>
    <xf numFmtId="0" fontId="22" fillId="0" borderId="0" xfId="2" applyFont="1" applyAlignment="1">
      <alignment horizontal="center" vertical="center" wrapText="1"/>
    </xf>
    <xf numFmtId="0" fontId="2" fillId="0" borderId="0" xfId="4"/>
    <xf numFmtId="49" fontId="2" fillId="4" borderId="1" xfId="4" applyNumberFormat="1" applyFill="1" applyBorder="1" applyAlignment="1">
      <alignment vertical="top" wrapText="1"/>
    </xf>
    <xf numFmtId="0" fontId="2" fillId="4" borderId="1" xfId="4" applyFill="1" applyBorder="1" applyAlignment="1">
      <alignment vertical="top" wrapText="1"/>
    </xf>
    <xf numFmtId="0" fontId="5" fillId="2" borderId="1" xfId="4" applyFont="1" applyFill="1" applyBorder="1" applyAlignment="1">
      <alignment vertical="top" wrapText="1"/>
    </xf>
    <xf numFmtId="0" fontId="2" fillId="0" borderId="1" xfId="4" applyBorder="1"/>
    <xf numFmtId="0" fontId="2" fillId="0" borderId="1" xfId="2" applyFont="1" applyBorder="1"/>
    <xf numFmtId="0" fontId="16" fillId="0" borderId="1" xfId="0" applyFont="1" applyBorder="1"/>
    <xf numFmtId="1" fontId="16" fillId="0" borderId="1" xfId="0" applyNumberFormat="1" applyFont="1" applyBorder="1"/>
    <xf numFmtId="0" fontId="10" fillId="0" borderId="1" xfId="2" applyFont="1" applyBorder="1" applyAlignment="1">
      <alignment horizontal="center" vertical="center" wrapText="1"/>
    </xf>
    <xf numFmtId="168" fontId="10" fillId="0" borderId="1" xfId="2" applyNumberFormat="1" applyFont="1" applyBorder="1" applyAlignment="1">
      <alignment horizontal="left" vertical="center" wrapText="1"/>
    </xf>
    <xf numFmtId="3" fontId="3" fillId="0" borderId="1" xfId="2" applyNumberFormat="1" applyBorder="1"/>
    <xf numFmtId="0" fontId="3" fillId="0" borderId="6" xfId="2" applyBorder="1"/>
    <xf numFmtId="0" fontId="3" fillId="0" borderId="5" xfId="2" applyBorder="1"/>
    <xf numFmtId="0" fontId="3" fillId="0" borderId="9" xfId="2" applyBorder="1"/>
    <xf numFmtId="0" fontId="3" fillId="0" borderId="7" xfId="2" applyBorder="1"/>
    <xf numFmtId="0" fontId="2" fillId="8" borderId="1" xfId="3" applyBorder="1"/>
    <xf numFmtId="0" fontId="21" fillId="0" borderId="19" xfId="0" applyFont="1" applyBorder="1"/>
    <xf numFmtId="0" fontId="21" fillId="0" borderId="17" xfId="0" applyFont="1" applyBorder="1"/>
    <xf numFmtId="0" fontId="21" fillId="0" borderId="18" xfId="0" applyFont="1" applyBorder="1"/>
    <xf numFmtId="170" fontId="2" fillId="8" borderId="1" xfId="3" applyNumberFormat="1" applyBorder="1"/>
    <xf numFmtId="171" fontId="0" fillId="0" borderId="0" xfId="0" applyNumberFormat="1"/>
    <xf numFmtId="0" fontId="1" fillId="0" borderId="1" xfId="2" applyFont="1" applyBorder="1" applyAlignment="1">
      <alignment wrapText="1"/>
    </xf>
    <xf numFmtId="0" fontId="5" fillId="2" borderId="9" xfId="2" applyFont="1" applyFill="1" applyBorder="1" applyAlignment="1">
      <alignment horizontal="center" vertical="top" wrapText="1"/>
    </xf>
    <xf numFmtId="0" fontId="5" fillId="2" borderId="2" xfId="2" applyFont="1" applyFill="1" applyBorder="1" applyAlignment="1">
      <alignment horizontal="center" vertical="top" wrapText="1"/>
    </xf>
    <xf numFmtId="0" fontId="5" fillId="2" borderId="1" xfId="2" applyFont="1" applyFill="1" applyBorder="1" applyAlignment="1">
      <alignment horizontal="center" vertical="top" wrapText="1"/>
    </xf>
    <xf numFmtId="0" fontId="5" fillId="2" borderId="5" xfId="2" applyFont="1" applyFill="1" applyBorder="1" applyAlignment="1">
      <alignment horizontal="center" vertical="top" wrapText="1"/>
    </xf>
    <xf numFmtId="0" fontId="5" fillId="2" borderId="4" xfId="2" applyFont="1" applyFill="1" applyBorder="1" applyAlignment="1">
      <alignment horizontal="center" vertical="top" wrapText="1"/>
    </xf>
    <xf numFmtId="0" fontId="5" fillId="2" borderId="3" xfId="2" applyFont="1" applyFill="1" applyBorder="1" applyAlignment="1">
      <alignment horizontal="center" vertical="top" wrapText="1"/>
    </xf>
    <xf numFmtId="2" fontId="17" fillId="0" borderId="12" xfId="0" applyNumberFormat="1" applyFont="1" applyBorder="1" applyAlignment="1">
      <alignment horizontal="center" wrapText="1"/>
    </xf>
    <xf numFmtId="2" fontId="0" fillId="0" borderId="12" xfId="0" applyNumberFormat="1" applyBorder="1" applyAlignment="1">
      <alignment horizontal="center" wrapText="1"/>
    </xf>
    <xf numFmtId="0" fontId="12" fillId="2" borderId="1" xfId="2" applyFont="1" applyFill="1" applyBorder="1" applyAlignment="1">
      <alignment horizontal="center" vertical="top" wrapText="1"/>
    </xf>
    <xf numFmtId="0" fontId="3" fillId="0" borderId="0" xfId="2" applyAlignment="1">
      <alignment horizontal="left"/>
    </xf>
    <xf numFmtId="0" fontId="5" fillId="2" borderId="1" xfId="2" applyFont="1" applyFill="1" applyBorder="1" applyAlignment="1">
      <alignment horizontal="center" wrapText="1"/>
    </xf>
    <xf numFmtId="10" fontId="5" fillId="2" borderId="1" xfId="2" applyNumberFormat="1" applyFont="1" applyFill="1" applyBorder="1" applyAlignment="1">
      <alignment horizontal="center" vertical="top" wrapText="1"/>
    </xf>
    <xf numFmtId="0" fontId="15" fillId="0" borderId="12" xfId="2" applyFont="1" applyBorder="1" applyAlignment="1">
      <alignment horizontal="center" wrapText="1"/>
    </xf>
    <xf numFmtId="0" fontId="15" fillId="0" borderId="0" xfId="2" applyFont="1" applyAlignment="1">
      <alignment horizontal="center" wrapText="1"/>
    </xf>
    <xf numFmtId="0" fontId="3" fillId="0" borderId="1" xfId="2" applyBorder="1" applyAlignment="1">
      <alignment horizontal="left" wrapText="1"/>
    </xf>
    <xf numFmtId="0" fontId="20" fillId="2" borderId="1" xfId="0" applyFont="1" applyFill="1" applyBorder="1" applyAlignment="1">
      <alignment horizontal="center" vertical="top" wrapText="1"/>
    </xf>
    <xf numFmtId="0" fontId="5" fillId="2" borderId="6" xfId="2" applyFont="1" applyFill="1" applyBorder="1" applyAlignment="1">
      <alignment horizontal="center" vertical="top" wrapText="1"/>
    </xf>
    <xf numFmtId="0" fontId="20" fillId="2" borderId="5" xfId="0" applyFont="1" applyFill="1" applyBorder="1" applyAlignment="1">
      <alignment horizontal="center" vertical="top" wrapText="1"/>
    </xf>
    <xf numFmtId="0" fontId="20" fillId="2" borderId="4" xfId="0" applyFont="1" applyFill="1" applyBorder="1" applyAlignment="1">
      <alignment horizontal="center" vertical="top" wrapText="1"/>
    </xf>
    <xf numFmtId="0" fontId="20" fillId="2" borderId="3" xfId="0" applyFont="1" applyFill="1" applyBorder="1" applyAlignment="1">
      <alignment horizontal="center" vertical="top" wrapText="1"/>
    </xf>
    <xf numFmtId="0" fontId="5" fillId="2" borderId="7" xfId="2" applyFont="1" applyFill="1" applyBorder="1" applyAlignment="1">
      <alignment horizontal="center" vertical="top" wrapText="1"/>
    </xf>
    <xf numFmtId="0" fontId="5" fillId="2" borderId="12" xfId="2" applyFont="1" applyFill="1" applyBorder="1" applyAlignment="1">
      <alignment horizontal="center" vertical="top" wrapText="1"/>
    </xf>
    <xf numFmtId="0" fontId="5" fillId="2" borderId="8" xfId="2" applyFont="1" applyFill="1" applyBorder="1" applyAlignment="1">
      <alignment horizontal="center" vertical="top" wrapText="1"/>
    </xf>
    <xf numFmtId="0" fontId="5" fillId="2" borderId="10" xfId="2" applyFont="1" applyFill="1" applyBorder="1" applyAlignment="1">
      <alignment horizontal="center" vertical="top" wrapText="1"/>
    </xf>
    <xf numFmtId="0" fontId="5" fillId="2" borderId="13" xfId="2" applyFont="1" applyFill="1" applyBorder="1" applyAlignment="1">
      <alignment horizontal="center" vertical="top" wrapText="1"/>
    </xf>
    <xf numFmtId="0" fontId="5" fillId="2" borderId="0" xfId="2" applyFont="1" applyFill="1" applyAlignment="1">
      <alignment horizontal="center" vertical="top" wrapText="1"/>
    </xf>
    <xf numFmtId="0" fontId="5" fillId="2" borderId="7" xfId="4" applyFont="1" applyFill="1" applyBorder="1" applyAlignment="1">
      <alignment horizontal="center" vertical="top" wrapText="1"/>
    </xf>
    <xf numFmtId="0" fontId="5" fillId="2" borderId="12" xfId="4" applyFont="1" applyFill="1" applyBorder="1" applyAlignment="1">
      <alignment horizontal="center" vertical="top" wrapText="1"/>
    </xf>
    <xf numFmtId="0" fontId="5" fillId="2" borderId="1" xfId="4" applyFont="1" applyFill="1" applyBorder="1" applyAlignment="1">
      <alignment horizontal="center" vertical="top" wrapText="1"/>
    </xf>
    <xf numFmtId="0" fontId="3" fillId="0" borderId="0" xfId="2" applyAlignment="1">
      <alignment horizontal="center"/>
    </xf>
    <xf numFmtId="2" fontId="3" fillId="0" borderId="0" xfId="2" applyNumberFormat="1" applyAlignment="1">
      <alignment horizontal="center"/>
    </xf>
    <xf numFmtId="0" fontId="12" fillId="2" borderId="2" xfId="2" applyFont="1" applyFill="1" applyBorder="1" applyAlignment="1">
      <alignment horizontal="center" vertical="top" wrapText="1"/>
    </xf>
    <xf numFmtId="0" fontId="5" fillId="2" borderId="13" xfId="2" applyFont="1" applyFill="1" applyBorder="1" applyAlignment="1">
      <alignment horizontal="center" wrapText="1"/>
    </xf>
    <xf numFmtId="0" fontId="5" fillId="2" borderId="0" xfId="2" applyFont="1" applyFill="1" applyAlignment="1">
      <alignment horizontal="center" wrapText="1"/>
    </xf>
    <xf numFmtId="0" fontId="6" fillId="0" borderId="0" xfId="2" applyFont="1" applyAlignment="1">
      <alignment horizontal="center"/>
    </xf>
    <xf numFmtId="0" fontId="3" fillId="0" borderId="0" xfId="2" applyAlignment="1">
      <alignment horizontal="center" wrapText="1"/>
    </xf>
    <xf numFmtId="10" fontId="5" fillId="2" borderId="13" xfId="2" applyNumberFormat="1" applyFont="1" applyFill="1" applyBorder="1" applyAlignment="1">
      <alignment horizontal="center" vertical="top" wrapText="1"/>
    </xf>
    <xf numFmtId="10" fontId="5" fillId="2" borderId="0" xfId="2" applyNumberFormat="1" applyFont="1" applyFill="1" applyAlignment="1">
      <alignment horizontal="center" vertical="top" wrapText="1"/>
    </xf>
    <xf numFmtId="0" fontId="13" fillId="0" borderId="5" xfId="2" applyFont="1" applyBorder="1" applyAlignment="1">
      <alignment horizontal="center" vertical="top" wrapText="1"/>
    </xf>
    <xf numFmtId="0" fontId="13" fillId="0" borderId="4" xfId="2" applyFont="1" applyBorder="1" applyAlignment="1">
      <alignment horizontal="center" vertical="top" wrapText="1"/>
    </xf>
    <xf numFmtId="0" fontId="13" fillId="0" borderId="3" xfId="2" applyFont="1" applyBorder="1" applyAlignment="1">
      <alignment horizontal="center" vertical="top" wrapText="1"/>
    </xf>
    <xf numFmtId="0" fontId="3" fillId="0" borderId="1" xfId="2" applyBorder="1" applyAlignment="1">
      <alignment horizontal="left"/>
    </xf>
    <xf numFmtId="1" fontId="3" fillId="0" borderId="1" xfId="2" applyNumberFormat="1" applyBorder="1" applyAlignment="1">
      <alignment horizontal="left"/>
    </xf>
    <xf numFmtId="0" fontId="5" fillId="2" borderId="6" xfId="2" applyFont="1" applyFill="1" applyBorder="1" applyAlignment="1">
      <alignment horizontal="left" wrapText="1"/>
    </xf>
    <xf numFmtId="0" fontId="5" fillId="2" borderId="15" xfId="2" applyFont="1" applyFill="1" applyBorder="1" applyAlignment="1">
      <alignment horizontal="left" wrapText="1"/>
    </xf>
    <xf numFmtId="0" fontId="5" fillId="2" borderId="11" xfId="2" applyFont="1" applyFill="1" applyBorder="1" applyAlignment="1">
      <alignment horizontal="center" vertical="top" wrapText="1"/>
    </xf>
    <xf numFmtId="0" fontId="5" fillId="2" borderId="14" xfId="2" applyFont="1" applyFill="1" applyBorder="1" applyAlignment="1">
      <alignment horizontal="center" vertical="top" wrapText="1"/>
    </xf>
  </cellXfs>
  <cellStyles count="5">
    <cellStyle name="60 % - Accent6" xfId="3" builtinId="52"/>
    <cellStyle name="Milliers 3" xfId="1" xr:uid="{B118BC5D-28F1-4AA9-8298-98EC62710BE5}"/>
    <cellStyle name="Normal" xfId="0" builtinId="0"/>
    <cellStyle name="Normal 2" xfId="2" xr:uid="{747C2088-BD95-4A37-A23D-F5AD3C00D4D0}"/>
    <cellStyle name="Normal 3" xfId="4" xr:uid="{F66A842A-9376-4DBA-8E56-DF17AF5FB741}"/>
  </cellStyles>
  <dxfs count="108">
    <dxf>
      <numFmt numFmtId="1" formatCode="0"/>
      <border diagonalUp="0" diagonalDown="0">
        <left style="thin">
          <color indexed="64"/>
        </left>
        <right/>
        <top style="thin">
          <color indexed="64"/>
        </top>
        <bottom style="thin">
          <color indexed="64"/>
        </bottom>
        <vertical/>
        <horizontal/>
      </border>
    </dxf>
    <dxf>
      <numFmt numFmtId="1" formatCode="0"/>
      <border diagonalUp="0" diagonalDown="0">
        <left style="thin">
          <color indexed="64"/>
        </left>
        <right style="thin">
          <color indexed="64"/>
        </right>
        <top style="thin">
          <color indexed="64"/>
        </top>
        <bottom style="thin">
          <color indexed="64"/>
        </bottom>
        <vertical/>
        <horizontal/>
      </border>
    </dxf>
    <dxf>
      <numFmt numFmtId="1" formatCode="0"/>
      <border diagonalUp="0" diagonalDown="0">
        <left style="thin">
          <color indexed="64"/>
        </left>
        <right style="thin">
          <color indexed="64"/>
        </right>
        <top style="thin">
          <color indexed="64"/>
        </top>
        <bottom style="thin">
          <color indexed="64"/>
        </bottom>
        <vertical/>
        <horizontal/>
      </border>
    </dxf>
    <dxf>
      <numFmt numFmtId="1" formatCode="0"/>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justify" vertical="top" textRotation="0" wrapText="1" indent="0" justifyLastLine="0" shrinkToFit="0" readingOrder="0"/>
      <border diagonalUp="0" diagonalDown="0" outline="0">
        <left style="thin">
          <color indexed="64"/>
        </left>
        <right style="thin">
          <color indexed="64"/>
        </right>
        <top/>
        <bottom/>
      </border>
    </dxf>
    <dxf>
      <numFmt numFmtId="1" formatCode="0"/>
      <border diagonalUp="0" diagonalDown="0">
        <left style="thin">
          <color indexed="64"/>
        </left>
        <right/>
        <top style="thin">
          <color indexed="64"/>
        </top>
        <bottom style="thin">
          <color indexed="64"/>
        </bottom>
        <vertical/>
        <horizontal/>
      </border>
    </dxf>
    <dxf>
      <numFmt numFmtId="1" formatCode="0"/>
      <border diagonalUp="0" diagonalDown="0">
        <left style="thin">
          <color indexed="64"/>
        </left>
        <right style="thin">
          <color indexed="64"/>
        </right>
        <top style="thin">
          <color indexed="64"/>
        </top>
        <bottom style="thin">
          <color indexed="64"/>
        </bottom>
        <vertical/>
        <horizontal/>
      </border>
    </dxf>
    <dxf>
      <numFmt numFmtId="1" formatCode="0"/>
      <border diagonalUp="0" diagonalDown="0">
        <left style="thin">
          <color indexed="64"/>
        </left>
        <right style="thin">
          <color indexed="64"/>
        </right>
        <top style="thin">
          <color indexed="64"/>
        </top>
        <bottom style="thin">
          <color indexed="64"/>
        </bottom>
        <vertical/>
        <horizontal/>
      </border>
    </dxf>
    <dxf>
      <numFmt numFmtId="1" formatCode="0"/>
      <border diagonalUp="0" diagonalDown="0">
        <left style="thin">
          <color indexed="64"/>
        </left>
        <right style="thin">
          <color indexed="64"/>
        </right>
        <top style="thin">
          <color indexed="64"/>
        </top>
        <bottom style="thin">
          <color indexed="64"/>
        </bottom>
        <vertical/>
        <horizontal/>
      </border>
    </dxf>
    <dxf>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justify" vertical="top" textRotation="0" wrapText="1" indent="0" justifyLastLine="0" shrinkToFit="0" readingOrder="0"/>
      <border diagonalUp="0" diagonalDown="0" outline="0">
        <left style="thin">
          <color indexed="64"/>
        </left>
        <right style="thin">
          <color indexed="64"/>
        </right>
        <top/>
        <bottom/>
      </border>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alignment horizontal="general" vertical="bottom"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numFmt numFmtId="1" formatCode="0"/>
    </dxf>
    <dxf>
      <numFmt numFmtId="2" formatCode="0.00"/>
    </dxf>
    <dxf>
      <numFmt numFmtId="2" formatCode="0.00"/>
    </dxf>
    <dxf>
      <font>
        <b val="0"/>
        <i val="0"/>
        <strike val="0"/>
        <condense val="0"/>
        <extend val="0"/>
        <outline val="0"/>
        <shadow val="0"/>
        <u val="none"/>
        <vertAlign val="baseline"/>
        <sz val="10"/>
        <color rgb="FF000000"/>
        <name val="Arial"/>
        <family val="2"/>
        <scheme val="none"/>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numFmt numFmtId="3" formatCode="#,##0"/>
      <alignment horizontal="righ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0"/>
        <color rgb="FF000000"/>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0"/>
        <color theme="0"/>
        <name val="Arial"/>
        <family val="2"/>
        <scheme val="none"/>
      </font>
      <alignment horizontal="center" vertical="center" textRotation="0" wrapText="1"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170" formatCode="_-* #,##0.000\ _€_-;\-* #,##0.000\ _€_-;_-* &quot;-&quot;?\ _€_-;_-@_-"/>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170" formatCode="_-* #,##0.000\ _€_-;\-* #,##0.000\ _€_-;_-* &quot;-&quot;?\ _€_-;_-@_-"/>
    </dxf>
    <dxf>
      <numFmt numFmtId="170" formatCode="_-* #,##0.000\ _€_-;\-* #,##0.000\ _€_-;_-* &quot;-&quot;?\ _€_-;_-@_-"/>
    </dxf>
    <dxf>
      <numFmt numFmtId="170" formatCode="_-* #,##0.000\ _€_-;\-* #,##0.000\ _€_-;_-* &quot;-&quot;?\ _€_-;_-@_-"/>
    </dxf>
    <dxf>
      <numFmt numFmtId="170" formatCode="_-* #,##0.000\ _€_-;\-* #,##0.000\ _€_-;_-* &quot;-&quot;?\ _€_-;_-@_-"/>
    </dxf>
    <dxf>
      <numFmt numFmtId="170" formatCode="_-* #,##0.000\ _€_-;\-* #,##0.000\ _€_-;_-* &quot;-&quot;?\ _€_-;_-@_-"/>
    </dxf>
    <dxf>
      <numFmt numFmtId="170" formatCode="_-* #,##0.000\ _€_-;\-* #,##0.000\ _€_-;_-* &quot;-&quot;?\ _€_-;_-@_-"/>
    </dxf>
    <dxf>
      <numFmt numFmtId="170" formatCode="_-* #,##0.000\ _€_-;\-* #,##0.000\ _€_-;_-* &quot;-&quot;?\ _€_-;_-@_-"/>
    </dxf>
    <dxf>
      <numFmt numFmtId="170" formatCode="_-* #,##0.000\ _€_-;\-* #,##0.000\ _€_-;_-* &quot;-&quot;?\ _€_-;_-@_-"/>
    </dxf>
    <dxf>
      <numFmt numFmtId="170" formatCode="_-* #,##0.000\ _€_-;\-* #,##0.000\ _€_-;_-* &quot;-&quot;?\ _€_-;_-@_-"/>
    </dxf>
    <dxf>
      <numFmt numFmtId="170" formatCode="_-* #,##0.000\ _€_-;\-* #,##0.000\ _€_-;_-* &quot;-&quot;?\ _€_-;_-@_-"/>
    </dxf>
    <dxf>
      <numFmt numFmtId="170" formatCode="_-* #,##0.000\ _€_-;\-* #,##0.000\ _€_-;_-* &quot;-&quot;?\ _€_-;_-@_-"/>
    </dxf>
    <dxf>
      <numFmt numFmtId="170" formatCode="_-* #,##0.000\ _€_-;\-* #,##0.000\ _€_-;_-* &quot;-&quot;?\ _€_-;_-@_-"/>
    </dxf>
    <dxf>
      <numFmt numFmtId="170" formatCode="_-* #,##0.000\ _€_-;\-* #,##0.000\ _€_-;_-* &quot;-&quot;?\ _€_-;_-@_-"/>
    </dxf>
    <dxf>
      <numFmt numFmtId="170" formatCode="_-* #,##0.000\ _€_-;\-* #,##0.000\ _€_-;_-* &quot;-&quot;?\ _€_-;_-@_-"/>
    </dxf>
    <dxf>
      <numFmt numFmtId="170" formatCode="_-* #,##0.000\ _€_-;\-* #,##0.000\ _€_-;_-* &quot;-&quot;?\ _€_-;_-@_-"/>
    </dxf>
    <dxf>
      <numFmt numFmtId="170" formatCode="_-* #,##0.000\ _€_-;\-* #,##0.000\ _€_-;_-* &quot;-&quot;?\ _€_-;_-@_-"/>
    </dxf>
    <dxf>
      <numFmt numFmtId="169" formatCode="_-* #,##0.0\ _€_-;\-* #,##0.0\ _€_-;_-* &quot;-&quot;?\ _€_-;_-@_-"/>
    </dxf>
    <dxf>
      <numFmt numFmtId="165" formatCode="_-* #,##0.0\ _€_-;\-* #,##0.0\ _€_-;_-* &quot;-&quot;??\ _€_-;_-@_-"/>
    </dxf>
    <dxf>
      <numFmt numFmtId="165" formatCode="_-* #,##0.0\ _€_-;\-* #,##0.0\ _€_-;_-* &quot;-&quot;??\ _€_-;_-@_-"/>
    </dxf>
    <dxf>
      <border>
        <bottom style="thin">
          <color indexed="64"/>
        </bottom>
      </border>
    </dxf>
    <dxf>
      <font>
        <b val="0"/>
        <i val="0"/>
        <strike val="0"/>
        <condense val="0"/>
        <extend val="0"/>
        <outline val="0"/>
        <shadow val="0"/>
        <u val="none"/>
        <vertAlign val="baseline"/>
        <sz val="10"/>
        <color rgb="FF000000"/>
        <name val="Arial"/>
        <family val="2"/>
        <scheme val="none"/>
      </font>
      <numFmt numFmtId="0" formatCode="General"/>
      <alignment horizontal="center" vertical="top" textRotation="0" wrapText="1" indent="0" justifyLastLine="0" shrinkToFit="0" readingOrder="0"/>
      <border diagonalUp="0" diagonalDown="0" outline="0">
        <left style="thin">
          <color indexed="64"/>
        </left>
        <right style="thin">
          <color indexed="64"/>
        </right>
        <top/>
        <bottom/>
      </border>
    </dxf>
    <dxf>
      <border>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i val="0"/>
        <strike val="0"/>
        <condense val="0"/>
        <extend val="0"/>
        <outline val="0"/>
        <shadow val="0"/>
        <u val="none"/>
        <vertAlign val="baseline"/>
        <sz val="11"/>
        <color theme="0"/>
        <name val="Calibri"/>
        <family val="2"/>
        <scheme val="minor"/>
      </font>
      <numFmt numFmtId="14" formatCode="0.00%"/>
      <fill>
        <patternFill patternType="solid">
          <fgColor theme="4"/>
          <bgColor theme="4"/>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rgb="FF000000"/>
        <name val="Arial"/>
        <family val="2"/>
        <scheme val="none"/>
      </font>
      <alignment horizontal="general" vertical="bottom" textRotation="0" wrapText="1" indent="0" justifyLastLine="0" shrinkToFit="0" readingOrder="0"/>
    </dxf>
    <dxf>
      <numFmt numFmtId="172" formatCode="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bottom style="thin">
          <color indexed="64"/>
        </bottom>
      </border>
    </dxf>
    <dxf>
      <alignment horizontal="general" vertical="top" textRotation="0" indent="0" justifyLastLine="0" shrinkToFit="0" readingOrder="0"/>
      <border diagonalUp="0" diagonalDown="0" outline="0">
        <left style="thin">
          <color indexed="64"/>
        </left>
        <right style="thin">
          <color indexed="64"/>
        </right>
        <top/>
        <bottom/>
      </border>
    </dxf>
    <dxf>
      <numFmt numFmtId="1" formatCode="0"/>
      <border diagonalUp="0" diagonalDown="0" outline="0">
        <left style="thin">
          <color indexed="64"/>
        </left>
        <right/>
        <top style="thin">
          <color indexed="64"/>
        </top>
        <bottom style="thin">
          <color indexed="64"/>
        </bottom>
      </border>
    </dxf>
    <dxf>
      <numFmt numFmtId="1" formatCode="0"/>
      <border diagonalUp="0" diagonalDown="0" outline="0">
        <left style="thin">
          <color indexed="64"/>
        </left>
        <right style="thin">
          <color indexed="64"/>
        </right>
        <top style="thin">
          <color indexed="64"/>
        </top>
        <bottom style="thin">
          <color indexed="64"/>
        </bottom>
      </border>
    </dxf>
    <dxf>
      <numFmt numFmtId="1" formatCode="0"/>
      <border diagonalUp="0" diagonalDown="0" outline="0">
        <left style="thin">
          <color indexed="64"/>
        </left>
        <right style="thin">
          <color indexed="64"/>
        </right>
        <top style="thin">
          <color indexed="64"/>
        </top>
        <bottom style="thin">
          <color indexed="64"/>
        </bottom>
      </border>
    </dxf>
    <dxf>
      <numFmt numFmtId="1" formatCode="0"/>
      <border diagonalUp="0" diagonalDown="0" outline="0">
        <left style="thin">
          <color indexed="64"/>
        </left>
        <right style="thin">
          <color indexed="64"/>
        </right>
        <top style="thin">
          <color indexed="64"/>
        </top>
        <bottom style="thin">
          <color indexed="64"/>
        </bottom>
      </border>
    </dxf>
    <dxf>
      <numFmt numFmtId="1" formatCode="0"/>
      <border diagonalUp="0" diagonalDown="0" outline="0">
        <left style="thin">
          <color indexed="64"/>
        </left>
        <right style="thin">
          <color indexed="64"/>
        </right>
        <top style="thin">
          <color indexed="64"/>
        </top>
        <bottom style="thin">
          <color indexed="64"/>
        </bottom>
      </border>
    </dxf>
    <dxf>
      <numFmt numFmtId="1" formatCode="0"/>
      <border diagonalUp="0" diagonalDown="0" outline="0">
        <left style="thin">
          <color indexed="64"/>
        </left>
        <right style="thin">
          <color indexed="64"/>
        </right>
        <top style="thin">
          <color indexed="64"/>
        </top>
        <bottom style="thin">
          <color indexed="64"/>
        </bottom>
      </border>
    </dxf>
    <dxf>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border>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outline="0">
        <top style="thin">
          <color indexed="64"/>
        </top>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none"/>
      </font>
      <border diagonalUp="0" diagonalDown="0">
        <left/>
        <right/>
        <top style="thin">
          <color theme="4"/>
        </top>
        <bottom/>
        <vertical/>
        <horizontal/>
      </border>
    </dxf>
    <dxf>
      <font>
        <b val="0"/>
        <i val="0"/>
        <strike val="0"/>
        <condense val="0"/>
        <extend val="0"/>
        <outline val="0"/>
        <shadow val="0"/>
        <u val="none"/>
        <vertAlign val="baseline"/>
        <sz val="12"/>
        <color theme="1"/>
        <name val="Calibri"/>
        <family val="2"/>
        <scheme val="none"/>
      </font>
      <border diagonalUp="0" diagonalDown="0">
        <left/>
        <right/>
        <top style="thin">
          <color theme="4"/>
        </top>
        <bottom/>
        <vertical/>
        <horizontal/>
      </border>
    </dxf>
    <dxf>
      <font>
        <b val="0"/>
        <i val="0"/>
        <strike val="0"/>
        <condense val="0"/>
        <extend val="0"/>
        <outline val="0"/>
        <shadow val="0"/>
        <u val="none"/>
        <vertAlign val="baseline"/>
        <sz val="12"/>
        <color theme="1"/>
        <name val="Calibri"/>
        <family val="2"/>
        <scheme val="none"/>
      </font>
      <border diagonalUp="0" diagonalDown="0">
        <left/>
        <right/>
        <top style="thin">
          <color theme="4"/>
        </top>
        <bottom/>
        <vertical/>
        <horizontal/>
      </border>
    </dxf>
    <dxf>
      <font>
        <b val="0"/>
        <i val="0"/>
        <strike val="0"/>
        <condense val="0"/>
        <extend val="0"/>
        <outline val="0"/>
        <shadow val="0"/>
        <u val="none"/>
        <vertAlign val="baseline"/>
        <sz val="12"/>
        <color theme="1"/>
        <name val="Calibri"/>
        <family val="2"/>
        <scheme val="none"/>
      </font>
      <border diagonalUp="0" diagonalDown="0">
        <left/>
        <right/>
        <top style="thin">
          <color theme="4"/>
        </top>
        <bottom/>
        <vertical/>
        <horizontal/>
      </border>
    </dxf>
    <dxf>
      <font>
        <b val="0"/>
        <i val="0"/>
        <strike val="0"/>
        <condense val="0"/>
        <extend val="0"/>
        <outline val="0"/>
        <shadow val="0"/>
        <u val="none"/>
        <vertAlign val="baseline"/>
        <sz val="12"/>
        <color theme="1"/>
        <name val="Calibri"/>
        <family val="2"/>
        <scheme val="none"/>
      </font>
      <border diagonalUp="0" diagonalDown="0">
        <left/>
        <right/>
        <top style="thin">
          <color theme="4"/>
        </top>
        <bottom/>
        <vertical/>
        <horizontal/>
      </border>
    </dxf>
    <dxf>
      <font>
        <b val="0"/>
        <i val="0"/>
        <strike val="0"/>
        <condense val="0"/>
        <extend val="0"/>
        <outline val="0"/>
        <shadow val="0"/>
        <u val="none"/>
        <vertAlign val="baseline"/>
        <sz val="12"/>
        <color theme="1"/>
        <name val="Calibri"/>
        <family val="2"/>
        <scheme val="none"/>
      </font>
      <border diagonalUp="0" diagonalDown="0">
        <left/>
        <right/>
        <top style="thin">
          <color theme="4"/>
        </top>
        <bottom/>
        <vertical/>
        <horizontal/>
      </border>
    </dxf>
    <dxf>
      <font>
        <b val="0"/>
        <i val="0"/>
        <strike val="0"/>
        <condense val="0"/>
        <extend val="0"/>
        <outline val="0"/>
        <shadow val="0"/>
        <u val="none"/>
        <vertAlign val="baseline"/>
        <sz val="12"/>
        <color theme="1"/>
        <name val="Calibri"/>
        <family val="2"/>
        <scheme val="none"/>
      </font>
      <border diagonalUp="0" diagonalDown="0">
        <left/>
        <right/>
        <top style="thin">
          <color theme="4"/>
        </top>
        <bottom/>
        <vertical/>
        <horizontal/>
      </border>
    </dxf>
    <dxf>
      <font>
        <b val="0"/>
        <i val="0"/>
        <strike val="0"/>
        <condense val="0"/>
        <extend val="0"/>
        <outline val="0"/>
        <shadow val="0"/>
        <u val="none"/>
        <vertAlign val="baseline"/>
        <sz val="12"/>
        <color theme="1"/>
        <name val="Calibri"/>
        <family val="2"/>
        <scheme val="none"/>
      </font>
      <border diagonalUp="0" diagonalDown="0">
        <left/>
        <right/>
        <top style="thin">
          <color theme="4"/>
        </top>
        <bottom/>
        <vertical/>
        <horizontal/>
      </border>
    </dxf>
    <dxf>
      <font>
        <b val="0"/>
        <i val="0"/>
        <strike val="0"/>
        <condense val="0"/>
        <extend val="0"/>
        <outline val="0"/>
        <shadow val="0"/>
        <u val="none"/>
        <vertAlign val="baseline"/>
        <sz val="12"/>
        <color theme="1"/>
        <name val="Calibri"/>
        <family val="2"/>
        <scheme val="none"/>
      </font>
      <border diagonalUp="0" diagonalDown="0">
        <left/>
        <right/>
        <top style="thin">
          <color theme="4"/>
        </top>
        <bottom/>
        <vertical/>
        <horizontal/>
      </border>
    </dxf>
    <dxf>
      <font>
        <b val="0"/>
        <i val="0"/>
        <strike val="0"/>
        <condense val="0"/>
        <extend val="0"/>
        <outline val="0"/>
        <shadow val="0"/>
        <u val="none"/>
        <vertAlign val="baseline"/>
        <sz val="12"/>
        <color theme="1"/>
        <name val="Calibri"/>
        <family val="2"/>
        <scheme val="none"/>
      </font>
      <border diagonalUp="0" diagonalDown="0">
        <left/>
        <right/>
        <top style="thin">
          <color theme="4"/>
        </top>
        <bottom/>
        <vertical/>
        <horizontal/>
      </border>
    </dxf>
    <dxf>
      <font>
        <b val="0"/>
        <i val="0"/>
        <strike val="0"/>
        <condense val="0"/>
        <extend val="0"/>
        <outline val="0"/>
        <shadow val="0"/>
        <u val="none"/>
        <vertAlign val="baseline"/>
        <sz val="12"/>
        <color theme="1"/>
        <name val="Calibri"/>
        <family val="2"/>
        <scheme val="none"/>
      </font>
      <border diagonalUp="0" diagonalDown="0">
        <left/>
        <right/>
        <top style="thin">
          <color theme="4"/>
        </top>
        <bottom/>
        <vertical/>
        <horizontal/>
      </border>
    </dxf>
    <dxf>
      <border outline="0">
        <top style="thin">
          <color indexed="64"/>
        </top>
      </border>
    </dxf>
    <dxf>
      <font>
        <b val="0"/>
        <i val="0"/>
        <strike val="0"/>
        <condense val="0"/>
        <extend val="0"/>
        <outline val="0"/>
        <shadow val="0"/>
        <u val="none"/>
        <vertAlign val="baseline"/>
        <sz val="12"/>
        <color theme="1"/>
        <name val="Calibri"/>
        <family val="2"/>
        <scheme val="none"/>
      </font>
    </dxf>
    <dxf>
      <border>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general"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1.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2.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3.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4.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15.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16.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17.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18.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6.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9.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2.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Ex3.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Ex4.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Ex5.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Ex6.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clustered"/>
        <c:varyColors val="0"/>
        <c:ser>
          <c:idx val="0"/>
          <c:order val="0"/>
          <c:tx>
            <c:strRef>
              <c:f>'A-conso'!$AT$38</c:f>
              <c:strCache>
                <c:ptCount val="1"/>
                <c:pt idx="0">
                  <c:v>Potentiel réemploi 2027 (MUVC)</c:v>
                </c:pt>
              </c:strCache>
            </c:strRef>
          </c:tx>
          <c:spPr>
            <a:solidFill>
              <a:schemeClr val="accent1"/>
            </a:solidFill>
            <a:ln>
              <a:noFill/>
            </a:ln>
            <a:effectLst/>
          </c:spPr>
          <c:invertIfNegative val="0"/>
          <c:cat>
            <c:strRef>
              <c:f>'A-conso'!$AN$39:$AN$54</c:f>
              <c:strCache>
                <c:ptCount val="16"/>
                <c:pt idx="0">
                  <c:v>Vin</c:v>
                </c:pt>
                <c:pt idx="1">
                  <c:v>Cidre</c:v>
                </c:pt>
                <c:pt idx="2">
                  <c:v>Bière, panaché</c:v>
                </c:pt>
                <c:pt idx="3">
                  <c:v>Miel</c:v>
                </c:pt>
                <c:pt idx="4">
                  <c:v>Eaux</c:v>
                </c:pt>
                <c:pt idx="5">
                  <c:v>Apéritifs et whiskies</c:v>
                </c:pt>
                <c:pt idx="6">
                  <c:v>Champagnes et mousseux</c:v>
                </c:pt>
                <c:pt idx="7">
                  <c:v>Jus et nectars</c:v>
                </c:pt>
                <c:pt idx="8">
                  <c:v>Conserves légumes</c:v>
                </c:pt>
                <c:pt idx="9">
                  <c:v>Boissons sans alcool</c:v>
                </c:pt>
                <c:pt idx="10">
                  <c:v>Lait</c:v>
                </c:pt>
                <c:pt idx="11">
                  <c:v>Yaourt</c:v>
                </c:pt>
                <c:pt idx="12">
                  <c:v>Confitures et fruits au sirop</c:v>
                </c:pt>
                <c:pt idx="13">
                  <c:v>Alimentation infaltile </c:v>
                </c:pt>
                <c:pt idx="14">
                  <c:v>Surgelés </c:v>
                </c:pt>
                <c:pt idx="15">
                  <c:v>Chien et chat </c:v>
                </c:pt>
              </c:strCache>
            </c:strRef>
          </c:cat>
          <c:val>
            <c:numRef>
              <c:f>'A-conso'!$AT$39:$AT$54</c:f>
              <c:numCache>
                <c:formatCode>0.0</c:formatCode>
                <c:ptCount val="16"/>
                <c:pt idx="0">
                  <c:v>4.6246499999999999</c:v>
                </c:pt>
                <c:pt idx="1">
                  <c:v>0.83333999999999997</c:v>
                </c:pt>
                <c:pt idx="2">
                  <c:v>51.019500000000001</c:v>
                </c:pt>
                <c:pt idx="3">
                  <c:v>0.4375</c:v>
                </c:pt>
                <c:pt idx="4">
                  <c:v>6.2866000000000009</c:v>
                </c:pt>
                <c:pt idx="5">
                  <c:v>0.29347500000000004</c:v>
                </c:pt>
                <c:pt idx="6">
                  <c:v>0.76754999999999995</c:v>
                </c:pt>
                <c:pt idx="7">
                  <c:v>4.2860249999999995</c:v>
                </c:pt>
                <c:pt idx="8">
                  <c:v>4.4182499999999996</c:v>
                </c:pt>
                <c:pt idx="9">
                  <c:v>8.8106999999999989</c:v>
                </c:pt>
                <c:pt idx="10">
                  <c:v>10.455450000000001</c:v>
                </c:pt>
                <c:pt idx="11">
                  <c:v>27.060974999999999</c:v>
                </c:pt>
                <c:pt idx="12">
                  <c:v>8.89025</c:v>
                </c:pt>
                <c:pt idx="13">
                  <c:v>0.179955</c:v>
                </c:pt>
                <c:pt idx="14">
                  <c:v>0.31239500000000003</c:v>
                </c:pt>
                <c:pt idx="15">
                  <c:v>1.377075</c:v>
                </c:pt>
              </c:numCache>
            </c:numRef>
          </c:val>
          <c:extLst>
            <c:ext xmlns:c16="http://schemas.microsoft.com/office/drawing/2014/chart" uri="{C3380CC4-5D6E-409C-BE32-E72D297353CC}">
              <c16:uniqueId val="{00000000-F943-4194-AFB1-68D043F8EB03}"/>
            </c:ext>
          </c:extLst>
        </c:ser>
        <c:dLbls>
          <c:showLegendKey val="0"/>
          <c:showVal val="0"/>
          <c:showCatName val="0"/>
          <c:showSerName val="0"/>
          <c:showPercent val="0"/>
          <c:showBubbleSize val="0"/>
        </c:dLbls>
        <c:gapWidth val="182"/>
        <c:axId val="1332231327"/>
        <c:axId val="1534767759"/>
      </c:barChart>
      <c:catAx>
        <c:axId val="1332231327"/>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534767759"/>
        <c:crosses val="autoZero"/>
        <c:auto val="1"/>
        <c:lblAlgn val="ctr"/>
        <c:lblOffset val="100"/>
        <c:noMultiLvlLbl val="0"/>
      </c:catAx>
      <c:valAx>
        <c:axId val="1534767759"/>
        <c:scaling>
          <c:orientation val="minMax"/>
        </c:scaling>
        <c:delete val="0"/>
        <c:axPos val="b"/>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3322313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 des UVC fixées en Normandie facilement réemployables par département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B1E4-4F50-AA44-752F9DE06C3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B1E4-4F50-AA44-752F9DE06C3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B1E4-4F50-AA44-752F9DE06C3D}"/>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B1E4-4F50-AA44-752F9DE06C3D}"/>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B1E4-4F50-AA44-752F9DE06C3D}"/>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r-FR"/>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'A-analyse-comp'!$BS$77:$BS$81</c:f>
              <c:strCache>
                <c:ptCount val="5"/>
                <c:pt idx="0">
                  <c:v>Calvados</c:v>
                </c:pt>
                <c:pt idx="1">
                  <c:v>Eure</c:v>
                </c:pt>
                <c:pt idx="2">
                  <c:v>Manche</c:v>
                </c:pt>
                <c:pt idx="3">
                  <c:v>Orne </c:v>
                </c:pt>
                <c:pt idx="4">
                  <c:v>Seine-M</c:v>
                </c:pt>
              </c:strCache>
            </c:strRef>
          </c:cat>
          <c:val>
            <c:numRef>
              <c:f>'A-analyse-comp'!$CB$77:$CB$81</c:f>
              <c:numCache>
                <c:formatCode>0</c:formatCode>
                <c:ptCount val="5"/>
                <c:pt idx="0">
                  <c:v>26.089032722302186</c:v>
                </c:pt>
                <c:pt idx="1">
                  <c:v>7.6945937278684289</c:v>
                </c:pt>
                <c:pt idx="2">
                  <c:v>27.931220051545974</c:v>
                </c:pt>
                <c:pt idx="3">
                  <c:v>16.532413519156272</c:v>
                </c:pt>
                <c:pt idx="4">
                  <c:v>21.752739979127153</c:v>
                </c:pt>
              </c:numCache>
            </c:numRef>
          </c:val>
          <c:extLst>
            <c:ext xmlns:c16="http://schemas.microsoft.com/office/drawing/2014/chart" uri="{C3380CC4-5D6E-409C-BE32-E72D297353CC}">
              <c16:uniqueId val="{0000000A-B1E4-4F50-AA44-752F9DE06C3D}"/>
            </c:ext>
          </c:extLst>
        </c:ser>
        <c:dLbls>
          <c:showLegendKey val="0"/>
          <c:showVal val="0"/>
          <c:showCatName val="0"/>
          <c:showSerName val="0"/>
          <c:showPercent val="1"/>
          <c:showBubbleSize val="0"/>
          <c:showLeaderLines val="0"/>
        </c:dLbls>
        <c:firstSliceAng val="0"/>
        <c:holeSize val="75"/>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 des UVC fixées en Normandie facilement réemployables par filière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39E8-4DC8-8A75-3B3742FB75D2}"/>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39E8-4DC8-8A75-3B3742FB75D2}"/>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39E8-4DC8-8A75-3B3742FB75D2}"/>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39E8-4DC8-8A75-3B3742FB75D2}"/>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39E8-4DC8-8A75-3B3742FB75D2}"/>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39E8-4DC8-8A75-3B3742FB75D2}"/>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39E8-4DC8-8A75-3B3742FB75D2}"/>
              </c:ext>
            </c:extLst>
          </c:dPt>
          <c:cat>
            <c:strRef>
              <c:f>'A-analyse-comp'!$BT$76:$BZ$76</c:f>
              <c:strCache>
                <c:ptCount val="7"/>
                <c:pt idx="0">
                  <c:v>Miel KUVC fixées facilement réemployables</c:v>
                </c:pt>
                <c:pt idx="1">
                  <c:v>Ind. Lait. KUVC fixées facilement réemployables</c:v>
                </c:pt>
                <c:pt idx="2">
                  <c:v>Fermiers  KUVC fixées facilement réemployables</c:v>
                </c:pt>
                <c:pt idx="3">
                  <c:v>Rest. à emporter  KUVC fixées facilement réemployables</c:v>
                </c:pt>
                <c:pt idx="4">
                  <c:v>Portage domicile  KUVC fixées facilement réemployables</c:v>
                </c:pt>
                <c:pt idx="5">
                  <c:v>Bière  KUVC fixées facilement réemployables</c:v>
                </c:pt>
                <c:pt idx="6">
                  <c:v>Cidricole  KUVC fixées facilement réemployables</c:v>
                </c:pt>
              </c:strCache>
            </c:strRef>
          </c:cat>
          <c:val>
            <c:numRef>
              <c:f>'A-analyse-comp'!$BT$82:$BZ$82</c:f>
              <c:numCache>
                <c:formatCode>0</c:formatCode>
                <c:ptCount val="7"/>
                <c:pt idx="0">
                  <c:v>444.02920202269877</c:v>
                </c:pt>
                <c:pt idx="1">
                  <c:v>186692</c:v>
                </c:pt>
                <c:pt idx="2">
                  <c:v>12098.258478873238</c:v>
                </c:pt>
                <c:pt idx="3">
                  <c:v>82870.5</c:v>
                </c:pt>
                <c:pt idx="4">
                  <c:v>9000</c:v>
                </c:pt>
                <c:pt idx="5">
                  <c:v>11076.799999440002</c:v>
                </c:pt>
                <c:pt idx="6">
                  <c:v>2687.232</c:v>
                </c:pt>
              </c:numCache>
            </c:numRef>
          </c:val>
          <c:extLst>
            <c:ext xmlns:c16="http://schemas.microsoft.com/office/drawing/2014/chart" uri="{C3380CC4-5D6E-409C-BE32-E72D297353CC}">
              <c16:uniqueId val="{0000000E-39E8-4DC8-8A75-3B3742FB75D2}"/>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a:t>Répartition des UVC fixées en Normandie facilement réemployables par filière (hors lait et restauration)</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fr-FR"/>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1-65EE-4AD8-9909-36F8CF094B89}"/>
              </c:ext>
            </c:extLst>
          </c:dPt>
          <c:dPt>
            <c:idx val="1"/>
            <c:bubble3D val="0"/>
            <c:spPr>
              <a:solidFill>
                <a:schemeClr val="accent2"/>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3-65EE-4AD8-9909-36F8CF094B89}"/>
              </c:ext>
            </c:extLst>
          </c:dPt>
          <c:dPt>
            <c:idx val="2"/>
            <c:bubble3D val="0"/>
            <c:spPr>
              <a:solidFill>
                <a:schemeClr val="accent3"/>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5-65EE-4AD8-9909-36F8CF094B89}"/>
              </c:ext>
            </c:extLst>
          </c:dPt>
          <c:dPt>
            <c:idx val="3"/>
            <c:bubble3D val="0"/>
            <c:spPr>
              <a:solidFill>
                <a:schemeClr val="accent4"/>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7-65EE-4AD8-9909-36F8CF094B89}"/>
              </c:ext>
            </c:extLst>
          </c:dPt>
          <c:dPt>
            <c:idx val="4"/>
            <c:bubble3D val="0"/>
            <c:spPr>
              <a:solidFill>
                <a:schemeClr val="accent5"/>
              </a:solidFill>
              <a:ln>
                <a:noFill/>
              </a:ln>
              <a:effectLst>
                <a:outerShdw blurRad="254000" sx="102000" sy="102000" algn="ctr" rotWithShape="0">
                  <a:prstClr val="black">
                    <a:alpha val="20000"/>
                  </a:prstClr>
                </a:outerShdw>
              </a:effectLst>
              <a:sp3d/>
            </c:spPr>
            <c:extLst>
              <c:ext xmlns:c16="http://schemas.microsoft.com/office/drawing/2014/chart" uri="{C3380CC4-5D6E-409C-BE32-E72D297353CC}">
                <c16:uniqueId val="{00000009-65EE-4AD8-9909-36F8CF094B89}"/>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fr-FR"/>
              </a:p>
            </c:txPr>
            <c:dLblPos val="ctr"/>
            <c:showLegendKey val="0"/>
            <c:showVal val="0"/>
            <c:showCatName val="1"/>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('A-analyse-comp'!$BT$76,'A-analyse-comp'!$BV$76,'A-analyse-comp'!$BX$76,'A-analyse-comp'!$BY$76,'A-analyse-comp'!$BZ$76)</c:f>
              <c:strCache>
                <c:ptCount val="5"/>
                <c:pt idx="0">
                  <c:v>Miel KUVC fixées facilement réemployables</c:v>
                </c:pt>
                <c:pt idx="1">
                  <c:v>Fermiers  KUVC fixées facilement réemployables</c:v>
                </c:pt>
                <c:pt idx="2">
                  <c:v>Portage domicile  KUVC fixées facilement réemployables</c:v>
                </c:pt>
                <c:pt idx="3">
                  <c:v>Bière  KUVC fixées facilement réemployables</c:v>
                </c:pt>
                <c:pt idx="4">
                  <c:v>Cidricole  KUVC fixées facilement réemployables</c:v>
                </c:pt>
              </c:strCache>
            </c:strRef>
          </c:cat>
          <c:val>
            <c:numRef>
              <c:f>('A-analyse-comp'!$BT$82,'A-analyse-comp'!$BV$82,'A-analyse-comp'!$BX$82,'A-analyse-comp'!$BY$82,'A-analyse-comp'!$BZ$82)</c:f>
              <c:numCache>
                <c:formatCode>0</c:formatCode>
                <c:ptCount val="5"/>
                <c:pt idx="0">
                  <c:v>444.02920202269877</c:v>
                </c:pt>
                <c:pt idx="1">
                  <c:v>12098.258478873238</c:v>
                </c:pt>
                <c:pt idx="2">
                  <c:v>9000</c:v>
                </c:pt>
                <c:pt idx="3">
                  <c:v>11076.799999440002</c:v>
                </c:pt>
                <c:pt idx="4">
                  <c:v>2687.232</c:v>
                </c:pt>
              </c:numCache>
            </c:numRef>
          </c:val>
          <c:extLst>
            <c:ext xmlns:c16="http://schemas.microsoft.com/office/drawing/2014/chart" uri="{C3380CC4-5D6E-409C-BE32-E72D297353CC}">
              <c16:uniqueId val="{0000000A-65EE-4AD8-9909-36F8CF094B89}"/>
            </c:ext>
          </c:extLst>
        </c:ser>
        <c:dLbls>
          <c:dLblPos val="ctr"/>
          <c:showLegendKey val="0"/>
          <c:showVal val="0"/>
          <c:showCatName val="1"/>
          <c:showSerName val="0"/>
          <c:showPercent val="0"/>
          <c:showBubbleSize val="0"/>
          <c:showLeaderLines val="1"/>
        </c:dLbls>
      </c:pie3D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Demande en emballages en UVC par département par filière (hors industrie laitière et restauration à emporter) </a:t>
            </a:r>
          </a:p>
        </c:rich>
      </c:tx>
      <c:layout>
        <c:manualLayout>
          <c:xMode val="edge"/>
          <c:yMode val="edge"/>
          <c:x val="0.10834011373578303"/>
          <c:y val="2.777777777777777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'A-synth-prod'!$AS$39</c:f>
              <c:strCache>
                <c:ptCount val="1"/>
                <c:pt idx="0">
                  <c:v>Calvados</c:v>
                </c:pt>
              </c:strCache>
            </c:strRef>
          </c:tx>
          <c:spPr>
            <a:solidFill>
              <a:schemeClr val="accent1"/>
            </a:solidFill>
            <a:ln>
              <a:noFill/>
            </a:ln>
            <a:effectLst/>
            <a:sp3d/>
          </c:spPr>
          <c:invertIfNegative val="0"/>
          <c:cat>
            <c:strRef>
              <c:f>'A-synth-prod'!$AT$38:$AX$38</c:f>
              <c:strCache>
                <c:ptCount val="5"/>
                <c:pt idx="0">
                  <c:v>KUVC Miel</c:v>
                </c:pt>
                <c:pt idx="1">
                  <c:v>KUVC fermiers</c:v>
                </c:pt>
                <c:pt idx="2">
                  <c:v>KUVC portage domicile</c:v>
                </c:pt>
                <c:pt idx="3">
                  <c:v>KUVC bière</c:v>
                </c:pt>
                <c:pt idx="4">
                  <c:v>KUVC cidricole</c:v>
                </c:pt>
              </c:strCache>
            </c:strRef>
          </c:cat>
          <c:val>
            <c:numRef>
              <c:f>'A-synth-prod'!$AT$39:$AX$39</c:f>
              <c:numCache>
                <c:formatCode>0</c:formatCode>
                <c:ptCount val="5"/>
                <c:pt idx="0">
                  <c:v>278.35036772182775</c:v>
                </c:pt>
                <c:pt idx="1">
                  <c:v>8565.5306568868837</c:v>
                </c:pt>
                <c:pt idx="2">
                  <c:v>1214.7387793387309</c:v>
                </c:pt>
                <c:pt idx="3">
                  <c:v>1771.9583332437498</c:v>
                </c:pt>
                <c:pt idx="4">
                  <c:v>31092.237560192618</c:v>
                </c:pt>
              </c:numCache>
            </c:numRef>
          </c:val>
          <c:extLst>
            <c:ext xmlns:c16="http://schemas.microsoft.com/office/drawing/2014/chart" uri="{C3380CC4-5D6E-409C-BE32-E72D297353CC}">
              <c16:uniqueId val="{00000000-35AC-4CF5-9E18-35D6C1763F59}"/>
            </c:ext>
          </c:extLst>
        </c:ser>
        <c:ser>
          <c:idx val="1"/>
          <c:order val="1"/>
          <c:tx>
            <c:strRef>
              <c:f>'A-synth-prod'!$AS$40</c:f>
              <c:strCache>
                <c:ptCount val="1"/>
                <c:pt idx="0">
                  <c:v>Eure</c:v>
                </c:pt>
              </c:strCache>
            </c:strRef>
          </c:tx>
          <c:spPr>
            <a:solidFill>
              <a:schemeClr val="accent2"/>
            </a:solidFill>
            <a:ln>
              <a:noFill/>
            </a:ln>
            <a:effectLst/>
            <a:sp3d/>
          </c:spPr>
          <c:invertIfNegative val="0"/>
          <c:cat>
            <c:strRef>
              <c:f>'A-synth-prod'!$AT$38:$AX$38</c:f>
              <c:strCache>
                <c:ptCount val="5"/>
                <c:pt idx="0">
                  <c:v>KUVC Miel</c:v>
                </c:pt>
                <c:pt idx="1">
                  <c:v>KUVC fermiers</c:v>
                </c:pt>
                <c:pt idx="2">
                  <c:v>KUVC portage domicile</c:v>
                </c:pt>
                <c:pt idx="3">
                  <c:v>KUVC bière</c:v>
                </c:pt>
                <c:pt idx="4">
                  <c:v>KUVC cidricole</c:v>
                </c:pt>
              </c:strCache>
            </c:strRef>
          </c:cat>
          <c:val>
            <c:numRef>
              <c:f>'A-synth-prod'!$AT$40:$AX$40</c:f>
              <c:numCache>
                <c:formatCode>0</c:formatCode>
                <c:ptCount val="5"/>
                <c:pt idx="0">
                  <c:v>242.16269115957866</c:v>
                </c:pt>
                <c:pt idx="1">
                  <c:v>6063.3882726577394</c:v>
                </c:pt>
                <c:pt idx="2">
                  <c:v>1575.862484953645</c:v>
                </c:pt>
                <c:pt idx="3">
                  <c:v>6593.3333330000014</c:v>
                </c:pt>
                <c:pt idx="4">
                  <c:v>11951.6404494382</c:v>
                </c:pt>
              </c:numCache>
            </c:numRef>
          </c:val>
          <c:extLst>
            <c:ext xmlns:c16="http://schemas.microsoft.com/office/drawing/2014/chart" uri="{C3380CC4-5D6E-409C-BE32-E72D297353CC}">
              <c16:uniqueId val="{00000001-35AC-4CF5-9E18-35D6C1763F59}"/>
            </c:ext>
          </c:extLst>
        </c:ser>
        <c:ser>
          <c:idx val="2"/>
          <c:order val="2"/>
          <c:tx>
            <c:strRef>
              <c:f>'A-synth-prod'!$AS$41</c:f>
              <c:strCache>
                <c:ptCount val="1"/>
                <c:pt idx="0">
                  <c:v>Manche</c:v>
                </c:pt>
              </c:strCache>
            </c:strRef>
          </c:tx>
          <c:spPr>
            <a:solidFill>
              <a:schemeClr val="accent3"/>
            </a:solidFill>
            <a:ln>
              <a:noFill/>
            </a:ln>
            <a:effectLst/>
            <a:sp3d/>
          </c:spPr>
          <c:invertIfNegative val="0"/>
          <c:cat>
            <c:strRef>
              <c:f>'A-synth-prod'!$AT$38:$AX$38</c:f>
              <c:strCache>
                <c:ptCount val="5"/>
                <c:pt idx="0">
                  <c:v>KUVC Miel</c:v>
                </c:pt>
                <c:pt idx="1">
                  <c:v>KUVC fermiers</c:v>
                </c:pt>
                <c:pt idx="2">
                  <c:v>KUVC portage domicile</c:v>
                </c:pt>
                <c:pt idx="3">
                  <c:v>KUVC bière</c:v>
                </c:pt>
                <c:pt idx="4">
                  <c:v>KUVC cidricole</c:v>
                </c:pt>
              </c:strCache>
            </c:strRef>
          </c:cat>
          <c:val>
            <c:numRef>
              <c:f>'A-synth-prod'!$AT$41:$AX$41</c:f>
              <c:numCache>
                <c:formatCode>0</c:formatCode>
                <c:ptCount val="5"/>
                <c:pt idx="0">
                  <c:v>227.62874515918361</c:v>
                </c:pt>
                <c:pt idx="1">
                  <c:v>14171.77914604157</c:v>
                </c:pt>
                <c:pt idx="2">
                  <c:v>1881.7615169382759</c:v>
                </c:pt>
                <c:pt idx="3">
                  <c:v>2266.4583332187503</c:v>
                </c:pt>
                <c:pt idx="4">
                  <c:v>28755.826645264846</c:v>
                </c:pt>
              </c:numCache>
            </c:numRef>
          </c:val>
          <c:extLst>
            <c:ext xmlns:c16="http://schemas.microsoft.com/office/drawing/2014/chart" uri="{C3380CC4-5D6E-409C-BE32-E72D297353CC}">
              <c16:uniqueId val="{00000002-35AC-4CF5-9E18-35D6C1763F59}"/>
            </c:ext>
          </c:extLst>
        </c:ser>
        <c:ser>
          <c:idx val="3"/>
          <c:order val="3"/>
          <c:tx>
            <c:strRef>
              <c:f>'A-synth-prod'!$AS$42</c:f>
              <c:strCache>
                <c:ptCount val="1"/>
                <c:pt idx="0">
                  <c:v>Orne </c:v>
                </c:pt>
              </c:strCache>
            </c:strRef>
          </c:tx>
          <c:spPr>
            <a:solidFill>
              <a:schemeClr val="accent4"/>
            </a:solidFill>
            <a:ln>
              <a:noFill/>
            </a:ln>
            <a:effectLst/>
            <a:sp3d/>
          </c:spPr>
          <c:invertIfNegative val="0"/>
          <c:cat>
            <c:strRef>
              <c:f>'A-synth-prod'!$AT$38:$AX$38</c:f>
              <c:strCache>
                <c:ptCount val="5"/>
                <c:pt idx="0">
                  <c:v>KUVC Miel</c:v>
                </c:pt>
                <c:pt idx="1">
                  <c:v>KUVC fermiers</c:v>
                </c:pt>
                <c:pt idx="2">
                  <c:v>KUVC portage domicile</c:v>
                </c:pt>
                <c:pt idx="3">
                  <c:v>KUVC bière</c:v>
                </c:pt>
                <c:pt idx="4">
                  <c:v>KUVC cidricole</c:v>
                </c:pt>
              </c:strCache>
            </c:strRef>
          </c:cat>
          <c:val>
            <c:numRef>
              <c:f>'A-synth-prod'!$AT$42:$AX$42</c:f>
              <c:numCache>
                <c:formatCode>0</c:formatCode>
                <c:ptCount val="5"/>
                <c:pt idx="0">
                  <c:v>278.35036772182775</c:v>
                </c:pt>
                <c:pt idx="1">
                  <c:v>6071.533857393295</c:v>
                </c:pt>
                <c:pt idx="2">
                  <c:v>1095.4058729277217</c:v>
                </c:pt>
                <c:pt idx="3">
                  <c:v>700.54166663124988</c:v>
                </c:pt>
                <c:pt idx="4">
                  <c:v>32709.752808988764</c:v>
                </c:pt>
              </c:numCache>
            </c:numRef>
          </c:val>
          <c:extLst>
            <c:ext xmlns:c16="http://schemas.microsoft.com/office/drawing/2014/chart" uri="{C3380CC4-5D6E-409C-BE32-E72D297353CC}">
              <c16:uniqueId val="{00000003-35AC-4CF5-9E18-35D6C1763F59}"/>
            </c:ext>
          </c:extLst>
        </c:ser>
        <c:ser>
          <c:idx val="4"/>
          <c:order val="4"/>
          <c:tx>
            <c:strRef>
              <c:f>'A-synth-prod'!$AS$43</c:f>
              <c:strCache>
                <c:ptCount val="1"/>
                <c:pt idx="0">
                  <c:v>Seine-M</c:v>
                </c:pt>
              </c:strCache>
            </c:strRef>
          </c:tx>
          <c:spPr>
            <a:solidFill>
              <a:schemeClr val="accent5"/>
            </a:solidFill>
            <a:ln>
              <a:noFill/>
            </a:ln>
            <a:effectLst/>
            <a:sp3d/>
          </c:spPr>
          <c:invertIfNegative val="0"/>
          <c:cat>
            <c:strRef>
              <c:f>'A-synth-prod'!$AT$38:$AX$38</c:f>
              <c:strCache>
                <c:ptCount val="5"/>
                <c:pt idx="0">
                  <c:v>KUVC Miel</c:v>
                </c:pt>
                <c:pt idx="1">
                  <c:v>KUVC fermiers</c:v>
                </c:pt>
                <c:pt idx="2">
                  <c:v>KUVC portage domicile</c:v>
                </c:pt>
                <c:pt idx="3">
                  <c:v>KUVC bière</c:v>
                </c:pt>
                <c:pt idx="4">
                  <c:v>KUVC cidricole</c:v>
                </c:pt>
              </c:strCache>
            </c:strRef>
          </c:cat>
          <c:val>
            <c:numRef>
              <c:f>'A-synth-prod'!$AT$43:$AX$43</c:f>
              <c:numCache>
                <c:formatCode>0</c:formatCode>
                <c:ptCount val="5"/>
                <c:pt idx="0">
                  <c:v>242.16269115957866</c:v>
                </c:pt>
                <c:pt idx="1">
                  <c:v>8335.8340629963641</c:v>
                </c:pt>
                <c:pt idx="2">
                  <c:v>3232.2313458416256</c:v>
                </c:pt>
                <c:pt idx="3">
                  <c:v>2513.7083332062498</c:v>
                </c:pt>
                <c:pt idx="4">
                  <c:v>7458.5425361155694</c:v>
                </c:pt>
              </c:numCache>
            </c:numRef>
          </c:val>
          <c:extLst>
            <c:ext xmlns:c16="http://schemas.microsoft.com/office/drawing/2014/chart" uri="{C3380CC4-5D6E-409C-BE32-E72D297353CC}">
              <c16:uniqueId val="{00000004-35AC-4CF5-9E18-35D6C1763F59}"/>
            </c:ext>
          </c:extLst>
        </c:ser>
        <c:dLbls>
          <c:showLegendKey val="0"/>
          <c:showVal val="0"/>
          <c:showCatName val="0"/>
          <c:showSerName val="0"/>
          <c:showPercent val="0"/>
          <c:showBubbleSize val="0"/>
        </c:dLbls>
        <c:gapWidth val="150"/>
        <c:shape val="box"/>
        <c:axId val="1668679696"/>
        <c:axId val="1497776896"/>
        <c:axId val="0"/>
      </c:bar3DChart>
      <c:catAx>
        <c:axId val="166867969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497776896"/>
        <c:crosses val="autoZero"/>
        <c:auto val="1"/>
        <c:lblAlgn val="ctr"/>
        <c:lblOffset val="100"/>
        <c:noMultiLvlLbl val="0"/>
      </c:catAx>
      <c:valAx>
        <c:axId val="14977768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a:t>Kilo UVC</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6686796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Demande des producteurs en emballages facilement réemployables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clustered"/>
        <c:varyColors val="0"/>
        <c:ser>
          <c:idx val="0"/>
          <c:order val="0"/>
          <c:spPr>
            <a:solidFill>
              <a:schemeClr val="accent1"/>
            </a:solidFill>
            <a:ln>
              <a:noFill/>
            </a:ln>
            <a:effectLst/>
          </c:spPr>
          <c:invertIfNegative val="0"/>
          <c:cat>
            <c:strRef>
              <c:f>'A-synth-prod'!$BE$50:$BK$50</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'A-synth-prod'!$BE$56:$BK$56</c:f>
              <c:numCache>
                <c:formatCode>0</c:formatCode>
                <c:ptCount val="7"/>
                <c:pt idx="0">
                  <c:v>444.02920202269866</c:v>
                </c:pt>
                <c:pt idx="1">
                  <c:v>565733.33333333337</c:v>
                </c:pt>
                <c:pt idx="2">
                  <c:v>15122.823098591547</c:v>
                </c:pt>
                <c:pt idx="3">
                  <c:v>82870.5</c:v>
                </c:pt>
                <c:pt idx="4">
                  <c:v>9000</c:v>
                </c:pt>
                <c:pt idx="5">
                  <c:v>11076.79999944</c:v>
                </c:pt>
                <c:pt idx="6">
                  <c:v>89574.400000000009</c:v>
                </c:pt>
              </c:numCache>
            </c:numRef>
          </c:val>
          <c:extLst>
            <c:ext xmlns:c16="http://schemas.microsoft.com/office/drawing/2014/chart" uri="{C3380CC4-5D6E-409C-BE32-E72D297353CC}">
              <c16:uniqueId val="{00000000-17F8-4111-9236-34C7A890E4A4}"/>
            </c:ext>
          </c:extLst>
        </c:ser>
        <c:dLbls>
          <c:showLegendKey val="0"/>
          <c:showVal val="0"/>
          <c:showCatName val="0"/>
          <c:showSerName val="0"/>
          <c:showPercent val="0"/>
          <c:showBubbleSize val="0"/>
        </c:dLbls>
        <c:gapWidth val="182"/>
        <c:axId val="120092224"/>
        <c:axId val="162321936"/>
      </c:barChart>
      <c:catAx>
        <c:axId val="1200922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62321936"/>
        <c:crosses val="autoZero"/>
        <c:auto val="1"/>
        <c:lblAlgn val="ctr"/>
        <c:lblOffset val="100"/>
        <c:noMultiLvlLbl val="0"/>
      </c:catAx>
      <c:valAx>
        <c:axId val="16232193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00922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Demande</a:t>
            </a:r>
            <a:r>
              <a:rPr lang="fr-FR" baseline="0"/>
              <a:t> par les producteurs en KUVC facilement réemployables par département </a:t>
            </a:r>
            <a:endParaRPr lang="fr-FR"/>
          </a:p>
        </c:rich>
      </c:tx>
      <c:layout>
        <c:manualLayout>
          <c:xMode val="edge"/>
          <c:yMode val="edge"/>
          <c:x val="4.7569335083114617E-2"/>
          <c:y val="1.851858026782917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'A-synth-prod'!$BD$51</c:f>
              <c:strCache>
                <c:ptCount val="1"/>
                <c:pt idx="0">
                  <c:v>Calvados</c:v>
                </c:pt>
              </c:strCache>
            </c:strRef>
          </c:tx>
          <c:spPr>
            <a:solidFill>
              <a:schemeClr val="accent1"/>
            </a:solidFill>
            <a:ln>
              <a:noFill/>
            </a:ln>
            <a:effectLst/>
            <a:sp3d/>
          </c:spPr>
          <c:invertIfNegative val="0"/>
          <c:cat>
            <c:strRef>
              <c:f>'A-synth-prod'!$BE$50:$BK$50</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'A-synth-prod'!$BE$51:$BK$51</c:f>
              <c:numCache>
                <c:formatCode>0</c:formatCode>
                <c:ptCount val="7"/>
                <c:pt idx="0">
                  <c:v>97.422628702639699</c:v>
                </c:pt>
                <c:pt idx="1">
                  <c:v>157384.4611528822</c:v>
                </c:pt>
                <c:pt idx="2">
                  <c:v>2997.935729910409</c:v>
                </c:pt>
                <c:pt idx="3">
                  <c:v>17110.298426382717</c:v>
                </c:pt>
                <c:pt idx="4">
                  <c:v>1214.7387793387309</c:v>
                </c:pt>
                <c:pt idx="5">
                  <c:v>1417.5666665949998</c:v>
                </c:pt>
                <c:pt idx="6">
                  <c:v>24873.790048154096</c:v>
                </c:pt>
              </c:numCache>
            </c:numRef>
          </c:val>
          <c:extLst>
            <c:ext xmlns:c16="http://schemas.microsoft.com/office/drawing/2014/chart" uri="{C3380CC4-5D6E-409C-BE32-E72D297353CC}">
              <c16:uniqueId val="{00000000-D88C-4E86-95D9-54D75B541B62}"/>
            </c:ext>
          </c:extLst>
        </c:ser>
        <c:ser>
          <c:idx val="1"/>
          <c:order val="1"/>
          <c:tx>
            <c:strRef>
              <c:f>'A-synth-prod'!$BD$52</c:f>
              <c:strCache>
                <c:ptCount val="1"/>
                <c:pt idx="0">
                  <c:v>Eure</c:v>
                </c:pt>
              </c:strCache>
            </c:strRef>
          </c:tx>
          <c:spPr>
            <a:solidFill>
              <a:schemeClr val="accent2"/>
            </a:solidFill>
            <a:ln>
              <a:noFill/>
            </a:ln>
            <a:effectLst/>
            <a:sp3d/>
          </c:spPr>
          <c:invertIfNegative val="0"/>
          <c:cat>
            <c:strRef>
              <c:f>'A-synth-prod'!$BE$50:$BK$50</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'A-synth-prod'!$BE$52:$BK$52</c:f>
              <c:numCache>
                <c:formatCode>0</c:formatCode>
                <c:ptCount val="7"/>
                <c:pt idx="0">
                  <c:v>84.756941905852528</c:v>
                </c:pt>
                <c:pt idx="1">
                  <c:v>29775.438596491233</c:v>
                </c:pt>
                <c:pt idx="2">
                  <c:v>2122.1858954302083</c:v>
                </c:pt>
                <c:pt idx="3">
                  <c:v>11991.200321630999</c:v>
                </c:pt>
                <c:pt idx="4">
                  <c:v>1575.862484953645</c:v>
                </c:pt>
                <c:pt idx="5">
                  <c:v>5274.6666664000004</c:v>
                </c:pt>
                <c:pt idx="6">
                  <c:v>9561.3123595505622</c:v>
                </c:pt>
              </c:numCache>
            </c:numRef>
          </c:val>
          <c:extLst>
            <c:ext xmlns:c16="http://schemas.microsoft.com/office/drawing/2014/chart" uri="{C3380CC4-5D6E-409C-BE32-E72D297353CC}">
              <c16:uniqueId val="{00000001-D88C-4E86-95D9-54D75B541B62}"/>
            </c:ext>
          </c:extLst>
        </c:ser>
        <c:ser>
          <c:idx val="2"/>
          <c:order val="2"/>
          <c:tx>
            <c:strRef>
              <c:f>'A-synth-prod'!$BD$53</c:f>
              <c:strCache>
                <c:ptCount val="1"/>
                <c:pt idx="0">
                  <c:v>Manche</c:v>
                </c:pt>
              </c:strCache>
            </c:strRef>
          </c:tx>
          <c:spPr>
            <a:solidFill>
              <a:schemeClr val="accent3"/>
            </a:solidFill>
            <a:ln>
              <a:noFill/>
            </a:ln>
            <a:effectLst/>
            <a:sp3d/>
          </c:spPr>
          <c:invertIfNegative val="0"/>
          <c:cat>
            <c:strRef>
              <c:f>'A-synth-prod'!$BE$50:$BK$50</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'A-synth-prod'!$BE$53:$BK$53</c:f>
              <c:numCache>
                <c:formatCode>0</c:formatCode>
                <c:ptCount val="7"/>
                <c:pt idx="0">
                  <c:v>79.670060805714257</c:v>
                </c:pt>
                <c:pt idx="1">
                  <c:v>182906.26566416043</c:v>
                </c:pt>
                <c:pt idx="2">
                  <c:v>4960.1227011145493</c:v>
                </c:pt>
                <c:pt idx="3">
                  <c:v>10979.183138704278</c:v>
                </c:pt>
                <c:pt idx="4">
                  <c:v>1881.7615169382759</c:v>
                </c:pt>
                <c:pt idx="5">
                  <c:v>1813.1666665750004</c:v>
                </c:pt>
                <c:pt idx="6">
                  <c:v>23004.661316211881</c:v>
                </c:pt>
              </c:numCache>
            </c:numRef>
          </c:val>
          <c:extLst>
            <c:ext xmlns:c16="http://schemas.microsoft.com/office/drawing/2014/chart" uri="{C3380CC4-5D6E-409C-BE32-E72D297353CC}">
              <c16:uniqueId val="{00000002-D88C-4E86-95D9-54D75B541B62}"/>
            </c:ext>
          </c:extLst>
        </c:ser>
        <c:ser>
          <c:idx val="3"/>
          <c:order val="3"/>
          <c:tx>
            <c:strRef>
              <c:f>'A-synth-prod'!$BD$54</c:f>
              <c:strCache>
                <c:ptCount val="1"/>
                <c:pt idx="0">
                  <c:v>Orne </c:v>
                </c:pt>
              </c:strCache>
            </c:strRef>
          </c:tx>
          <c:spPr>
            <a:solidFill>
              <a:schemeClr val="accent4"/>
            </a:solidFill>
            <a:ln>
              <a:noFill/>
            </a:ln>
            <a:effectLst/>
            <a:sp3d/>
          </c:spPr>
          <c:invertIfNegative val="0"/>
          <c:cat>
            <c:strRef>
              <c:f>'A-synth-prod'!$BE$50:$BK$50</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'A-synth-prod'!$BE$54:$BK$54</c:f>
              <c:numCache>
                <c:formatCode>0</c:formatCode>
                <c:ptCount val="7"/>
                <c:pt idx="0">
                  <c:v>97.422628702639713</c:v>
                </c:pt>
                <c:pt idx="1">
                  <c:v>110594.48621553884</c:v>
                </c:pt>
                <c:pt idx="2">
                  <c:v>2125.036850087653</c:v>
                </c:pt>
                <c:pt idx="3">
                  <c:v>4046.487558818726</c:v>
                </c:pt>
                <c:pt idx="4">
                  <c:v>1095.4058729277217</c:v>
                </c:pt>
                <c:pt idx="5">
                  <c:v>560.43333330500002</c:v>
                </c:pt>
                <c:pt idx="6">
                  <c:v>26167.802247191015</c:v>
                </c:pt>
              </c:numCache>
            </c:numRef>
          </c:val>
          <c:extLst>
            <c:ext xmlns:c16="http://schemas.microsoft.com/office/drawing/2014/chart" uri="{C3380CC4-5D6E-409C-BE32-E72D297353CC}">
              <c16:uniqueId val="{00000003-D88C-4E86-95D9-54D75B541B62}"/>
            </c:ext>
          </c:extLst>
        </c:ser>
        <c:ser>
          <c:idx val="4"/>
          <c:order val="4"/>
          <c:tx>
            <c:strRef>
              <c:f>'A-synth-prod'!$BD$55</c:f>
              <c:strCache>
                <c:ptCount val="1"/>
                <c:pt idx="0">
                  <c:v>Seine-M</c:v>
                </c:pt>
              </c:strCache>
            </c:strRef>
          </c:tx>
          <c:spPr>
            <a:solidFill>
              <a:schemeClr val="accent5"/>
            </a:solidFill>
            <a:ln>
              <a:noFill/>
            </a:ln>
            <a:effectLst/>
            <a:sp3d/>
          </c:spPr>
          <c:invertIfNegative val="0"/>
          <c:cat>
            <c:strRef>
              <c:f>'A-synth-prod'!$BE$50:$BK$50</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'A-synth-prod'!$BE$55:$BK$55</c:f>
              <c:numCache>
                <c:formatCode>0</c:formatCode>
                <c:ptCount val="7"/>
                <c:pt idx="0">
                  <c:v>84.756941905852528</c:v>
                </c:pt>
                <c:pt idx="1">
                  <c:v>85072.681704260642</c:v>
                </c:pt>
                <c:pt idx="2">
                  <c:v>2917.5419220487274</c:v>
                </c:pt>
                <c:pt idx="3">
                  <c:v>38743.330554463275</c:v>
                </c:pt>
                <c:pt idx="4">
                  <c:v>3232.2313458416256</c:v>
                </c:pt>
                <c:pt idx="5">
                  <c:v>2010.9666665650002</c:v>
                </c:pt>
                <c:pt idx="6">
                  <c:v>5966.8340288924564</c:v>
                </c:pt>
              </c:numCache>
            </c:numRef>
          </c:val>
          <c:extLst>
            <c:ext xmlns:c16="http://schemas.microsoft.com/office/drawing/2014/chart" uri="{C3380CC4-5D6E-409C-BE32-E72D297353CC}">
              <c16:uniqueId val="{00000004-D88C-4E86-95D9-54D75B541B62}"/>
            </c:ext>
          </c:extLst>
        </c:ser>
        <c:dLbls>
          <c:showLegendKey val="0"/>
          <c:showVal val="0"/>
          <c:showCatName val="0"/>
          <c:showSerName val="0"/>
          <c:showPercent val="0"/>
          <c:showBubbleSize val="0"/>
        </c:dLbls>
        <c:gapWidth val="150"/>
        <c:shape val="box"/>
        <c:axId val="25106032"/>
        <c:axId val="40872064"/>
        <c:axId val="0"/>
      </c:bar3DChart>
      <c:catAx>
        <c:axId val="2510603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0872064"/>
        <c:crosses val="autoZero"/>
        <c:auto val="1"/>
        <c:lblAlgn val="ctr"/>
        <c:lblOffset val="100"/>
        <c:noMultiLvlLbl val="0"/>
      </c:catAx>
      <c:valAx>
        <c:axId val="408720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51060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0" i="0" u="none" strike="noStrike" kern="1200" spc="0" baseline="0">
                <a:solidFill>
                  <a:sysClr val="windowText" lastClr="000000">
                    <a:lumMod val="65000"/>
                    <a:lumOff val="35000"/>
                  </a:sysClr>
                </a:solidFill>
              </a:rPr>
              <a:t>Répartition de la demande en KUVC de toutes les filières étudiées par département</a:t>
            </a:r>
          </a:p>
        </c:rich>
      </c:tx>
      <c:layout>
        <c:manualLayout>
          <c:xMode val="edge"/>
          <c:yMode val="edge"/>
          <c:x val="4.6583333333333324E-2"/>
          <c:y val="0.1018518518518518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'A-synth-prod'!$CB$72</c:f>
              <c:strCache>
                <c:ptCount val="1"/>
                <c:pt idx="0">
                  <c:v>Calvados</c:v>
                </c:pt>
              </c:strCache>
            </c:strRef>
          </c:tx>
          <c:spPr>
            <a:solidFill>
              <a:schemeClr val="accent1"/>
            </a:solidFill>
            <a:ln>
              <a:noFill/>
            </a:ln>
            <a:effectLst/>
            <a:sp3d/>
          </c:spPr>
          <c:invertIfNegative val="0"/>
          <c:cat>
            <c:strRef>
              <c:f>'A-synth-prod'!$CC$71:$CI$71</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'A-synth-prod'!$CC$72:$CI$72</c:f>
              <c:numCache>
                <c:formatCode>0</c:formatCode>
                <c:ptCount val="7"/>
                <c:pt idx="0">
                  <c:v>278.35036772182775</c:v>
                </c:pt>
                <c:pt idx="1">
                  <c:v>786922.30576441088</c:v>
                </c:pt>
                <c:pt idx="2">
                  <c:v>8565.5306568868837</c:v>
                </c:pt>
                <c:pt idx="3">
                  <c:v>171102.98426382715</c:v>
                </c:pt>
                <c:pt idx="4">
                  <c:v>1214.7387793387309</c:v>
                </c:pt>
                <c:pt idx="5">
                  <c:v>1771.9583332437498</c:v>
                </c:pt>
                <c:pt idx="6">
                  <c:v>31092.237560192618</c:v>
                </c:pt>
              </c:numCache>
            </c:numRef>
          </c:val>
          <c:extLst>
            <c:ext xmlns:c16="http://schemas.microsoft.com/office/drawing/2014/chart" uri="{C3380CC4-5D6E-409C-BE32-E72D297353CC}">
              <c16:uniqueId val="{00000000-0983-4A91-8E7A-FDFE2939981E}"/>
            </c:ext>
          </c:extLst>
        </c:ser>
        <c:ser>
          <c:idx val="1"/>
          <c:order val="1"/>
          <c:tx>
            <c:strRef>
              <c:f>'A-synth-prod'!$CB$73</c:f>
              <c:strCache>
                <c:ptCount val="1"/>
                <c:pt idx="0">
                  <c:v>Eure</c:v>
                </c:pt>
              </c:strCache>
            </c:strRef>
          </c:tx>
          <c:spPr>
            <a:solidFill>
              <a:schemeClr val="accent2"/>
            </a:solidFill>
            <a:ln>
              <a:noFill/>
            </a:ln>
            <a:effectLst/>
            <a:sp3d/>
          </c:spPr>
          <c:invertIfNegative val="0"/>
          <c:cat>
            <c:strRef>
              <c:f>'A-synth-prod'!$CC$71:$CI$71</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'A-synth-prod'!$CC$73:$CI$73</c:f>
              <c:numCache>
                <c:formatCode>0</c:formatCode>
                <c:ptCount val="7"/>
                <c:pt idx="0">
                  <c:v>242.16269115957866</c:v>
                </c:pt>
                <c:pt idx="1">
                  <c:v>148877.19298245615</c:v>
                </c:pt>
                <c:pt idx="2">
                  <c:v>6063.3882726577394</c:v>
                </c:pt>
                <c:pt idx="3">
                  <c:v>119912.00321630997</c:v>
                </c:pt>
                <c:pt idx="4">
                  <c:v>1575.862484953645</c:v>
                </c:pt>
                <c:pt idx="5">
                  <c:v>6593.3333330000014</c:v>
                </c:pt>
                <c:pt idx="6">
                  <c:v>11951.6404494382</c:v>
                </c:pt>
              </c:numCache>
            </c:numRef>
          </c:val>
          <c:extLst>
            <c:ext xmlns:c16="http://schemas.microsoft.com/office/drawing/2014/chart" uri="{C3380CC4-5D6E-409C-BE32-E72D297353CC}">
              <c16:uniqueId val="{00000001-0983-4A91-8E7A-FDFE2939981E}"/>
            </c:ext>
          </c:extLst>
        </c:ser>
        <c:ser>
          <c:idx val="2"/>
          <c:order val="2"/>
          <c:tx>
            <c:strRef>
              <c:f>'A-synth-prod'!$CB$74</c:f>
              <c:strCache>
                <c:ptCount val="1"/>
                <c:pt idx="0">
                  <c:v>Manche</c:v>
                </c:pt>
              </c:strCache>
            </c:strRef>
          </c:tx>
          <c:spPr>
            <a:solidFill>
              <a:schemeClr val="accent3"/>
            </a:solidFill>
            <a:ln>
              <a:noFill/>
            </a:ln>
            <a:effectLst/>
            <a:sp3d/>
          </c:spPr>
          <c:invertIfNegative val="0"/>
          <c:cat>
            <c:strRef>
              <c:f>'A-synth-prod'!$CC$71:$CI$71</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'A-synth-prod'!$CC$74:$CI$74</c:f>
              <c:numCache>
                <c:formatCode>0</c:formatCode>
                <c:ptCount val="7"/>
                <c:pt idx="0">
                  <c:v>227.62874515918361</c:v>
                </c:pt>
                <c:pt idx="1">
                  <c:v>914531.32832080196</c:v>
                </c:pt>
                <c:pt idx="2">
                  <c:v>14171.77914604157</c:v>
                </c:pt>
                <c:pt idx="3">
                  <c:v>109791.83138704278</c:v>
                </c:pt>
                <c:pt idx="4">
                  <c:v>1881.7615169382759</c:v>
                </c:pt>
                <c:pt idx="5">
                  <c:v>2266.4583332187503</c:v>
                </c:pt>
                <c:pt idx="6">
                  <c:v>28755.826645264846</c:v>
                </c:pt>
              </c:numCache>
            </c:numRef>
          </c:val>
          <c:extLst>
            <c:ext xmlns:c16="http://schemas.microsoft.com/office/drawing/2014/chart" uri="{C3380CC4-5D6E-409C-BE32-E72D297353CC}">
              <c16:uniqueId val="{00000002-0983-4A91-8E7A-FDFE2939981E}"/>
            </c:ext>
          </c:extLst>
        </c:ser>
        <c:ser>
          <c:idx val="3"/>
          <c:order val="3"/>
          <c:tx>
            <c:strRef>
              <c:f>'A-synth-prod'!$CB$75</c:f>
              <c:strCache>
                <c:ptCount val="1"/>
                <c:pt idx="0">
                  <c:v>Orne </c:v>
                </c:pt>
              </c:strCache>
            </c:strRef>
          </c:tx>
          <c:spPr>
            <a:solidFill>
              <a:schemeClr val="accent4"/>
            </a:solidFill>
            <a:ln>
              <a:noFill/>
            </a:ln>
            <a:effectLst/>
            <a:sp3d/>
          </c:spPr>
          <c:invertIfNegative val="0"/>
          <c:cat>
            <c:strRef>
              <c:f>'A-synth-prod'!$CC$71:$CI$71</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'A-synth-prod'!$CC$75:$CI$75</c:f>
              <c:numCache>
                <c:formatCode>0</c:formatCode>
                <c:ptCount val="7"/>
                <c:pt idx="0">
                  <c:v>278.35036772182775</c:v>
                </c:pt>
                <c:pt idx="1">
                  <c:v>552972.43107769417</c:v>
                </c:pt>
                <c:pt idx="2">
                  <c:v>6071.533857393295</c:v>
                </c:pt>
                <c:pt idx="3">
                  <c:v>40464.875588187264</c:v>
                </c:pt>
                <c:pt idx="4">
                  <c:v>1095.4058729277217</c:v>
                </c:pt>
                <c:pt idx="5">
                  <c:v>700.54166663124988</c:v>
                </c:pt>
                <c:pt idx="6">
                  <c:v>32709.752808988764</c:v>
                </c:pt>
              </c:numCache>
            </c:numRef>
          </c:val>
          <c:extLst>
            <c:ext xmlns:c16="http://schemas.microsoft.com/office/drawing/2014/chart" uri="{C3380CC4-5D6E-409C-BE32-E72D297353CC}">
              <c16:uniqueId val="{00000003-0983-4A91-8E7A-FDFE2939981E}"/>
            </c:ext>
          </c:extLst>
        </c:ser>
        <c:ser>
          <c:idx val="4"/>
          <c:order val="4"/>
          <c:tx>
            <c:strRef>
              <c:f>'A-synth-prod'!$CB$76</c:f>
              <c:strCache>
                <c:ptCount val="1"/>
                <c:pt idx="0">
                  <c:v>Seine-M</c:v>
                </c:pt>
              </c:strCache>
            </c:strRef>
          </c:tx>
          <c:spPr>
            <a:solidFill>
              <a:schemeClr val="accent5"/>
            </a:solidFill>
            <a:ln>
              <a:noFill/>
            </a:ln>
            <a:effectLst/>
            <a:sp3d/>
          </c:spPr>
          <c:invertIfNegative val="0"/>
          <c:cat>
            <c:strRef>
              <c:f>'A-synth-prod'!$CC$71:$CI$71</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'A-synth-prod'!$CC$76:$CI$76</c:f>
              <c:numCache>
                <c:formatCode>0</c:formatCode>
                <c:ptCount val="7"/>
                <c:pt idx="0">
                  <c:v>242.16269115957866</c:v>
                </c:pt>
                <c:pt idx="1">
                  <c:v>425363.40852130321</c:v>
                </c:pt>
                <c:pt idx="2">
                  <c:v>8335.8340629963641</c:v>
                </c:pt>
                <c:pt idx="3">
                  <c:v>387433.30554463272</c:v>
                </c:pt>
                <c:pt idx="4">
                  <c:v>3232.2313458416256</c:v>
                </c:pt>
                <c:pt idx="5">
                  <c:v>2513.7083332062498</c:v>
                </c:pt>
                <c:pt idx="6">
                  <c:v>7458.5425361155694</c:v>
                </c:pt>
              </c:numCache>
            </c:numRef>
          </c:val>
          <c:extLst>
            <c:ext xmlns:c16="http://schemas.microsoft.com/office/drawing/2014/chart" uri="{C3380CC4-5D6E-409C-BE32-E72D297353CC}">
              <c16:uniqueId val="{00000004-0983-4A91-8E7A-FDFE2939981E}"/>
            </c:ext>
          </c:extLst>
        </c:ser>
        <c:dLbls>
          <c:showLegendKey val="0"/>
          <c:showVal val="0"/>
          <c:showCatName val="0"/>
          <c:showSerName val="0"/>
          <c:showPercent val="0"/>
          <c:showBubbleSize val="0"/>
        </c:dLbls>
        <c:gapWidth val="150"/>
        <c:shape val="box"/>
        <c:axId val="310827503"/>
        <c:axId val="26171983"/>
        <c:axId val="0"/>
      </c:bar3DChart>
      <c:catAx>
        <c:axId val="310827503"/>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6171983"/>
        <c:crosses val="autoZero"/>
        <c:auto val="1"/>
        <c:lblAlgn val="ctr"/>
        <c:lblOffset val="100"/>
        <c:noMultiLvlLbl val="0"/>
      </c:catAx>
      <c:valAx>
        <c:axId val="2617198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108275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0" i="0" u="none" strike="noStrike" kern="1200" spc="0" baseline="0">
                <a:solidFill>
                  <a:sysClr val="windowText" lastClr="000000">
                    <a:lumMod val="65000"/>
                    <a:lumOff val="35000"/>
                  </a:sysClr>
                </a:solidFill>
              </a:rPr>
              <a:t>Figure : Demande des producteurs en emballages facilement réemployables par filière et département </a:t>
            </a:r>
          </a:p>
        </c:rich>
      </c:tx>
      <c:layout>
        <c:manualLayout>
          <c:xMode val="edge"/>
          <c:yMode val="edge"/>
          <c:x val="0.16780555555555554"/>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'A-synth-prod'!$BD$51</c:f>
              <c:strCache>
                <c:ptCount val="1"/>
                <c:pt idx="0">
                  <c:v>Calvados</c:v>
                </c:pt>
              </c:strCache>
            </c:strRef>
          </c:tx>
          <c:spPr>
            <a:solidFill>
              <a:schemeClr val="accent1"/>
            </a:solidFill>
            <a:ln>
              <a:noFill/>
            </a:ln>
            <a:effectLst/>
            <a:sp3d/>
          </c:spPr>
          <c:invertIfNegative val="0"/>
          <c:cat>
            <c:strRef>
              <c:f>'A-synth-prod'!$BE$50:$BK$50</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'A-synth-prod'!$BE$51:$BK$51</c:f>
              <c:numCache>
                <c:formatCode>0</c:formatCode>
                <c:ptCount val="7"/>
                <c:pt idx="0">
                  <c:v>97.422628702639699</c:v>
                </c:pt>
                <c:pt idx="1">
                  <c:v>157384.4611528822</c:v>
                </c:pt>
                <c:pt idx="2">
                  <c:v>2997.935729910409</c:v>
                </c:pt>
                <c:pt idx="3">
                  <c:v>17110.298426382717</c:v>
                </c:pt>
                <c:pt idx="4">
                  <c:v>1214.7387793387309</c:v>
                </c:pt>
                <c:pt idx="5">
                  <c:v>1417.5666665949998</c:v>
                </c:pt>
                <c:pt idx="6">
                  <c:v>24873.790048154096</c:v>
                </c:pt>
              </c:numCache>
            </c:numRef>
          </c:val>
          <c:extLst>
            <c:ext xmlns:c16="http://schemas.microsoft.com/office/drawing/2014/chart" uri="{C3380CC4-5D6E-409C-BE32-E72D297353CC}">
              <c16:uniqueId val="{00000000-A253-47D4-ABD7-0956369F43C9}"/>
            </c:ext>
          </c:extLst>
        </c:ser>
        <c:ser>
          <c:idx val="1"/>
          <c:order val="1"/>
          <c:tx>
            <c:strRef>
              <c:f>'A-synth-prod'!$BD$52</c:f>
              <c:strCache>
                <c:ptCount val="1"/>
                <c:pt idx="0">
                  <c:v>Eure</c:v>
                </c:pt>
              </c:strCache>
            </c:strRef>
          </c:tx>
          <c:spPr>
            <a:solidFill>
              <a:schemeClr val="accent2"/>
            </a:solidFill>
            <a:ln>
              <a:noFill/>
            </a:ln>
            <a:effectLst/>
            <a:sp3d/>
          </c:spPr>
          <c:invertIfNegative val="0"/>
          <c:cat>
            <c:strRef>
              <c:f>'A-synth-prod'!$BE$50:$BK$50</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'A-synth-prod'!$BE$52:$BK$52</c:f>
              <c:numCache>
                <c:formatCode>0</c:formatCode>
                <c:ptCount val="7"/>
                <c:pt idx="0">
                  <c:v>84.756941905852528</c:v>
                </c:pt>
                <c:pt idx="1">
                  <c:v>29775.438596491233</c:v>
                </c:pt>
                <c:pt idx="2">
                  <c:v>2122.1858954302083</c:v>
                </c:pt>
                <c:pt idx="3">
                  <c:v>11991.200321630999</c:v>
                </c:pt>
                <c:pt idx="4">
                  <c:v>1575.862484953645</c:v>
                </c:pt>
                <c:pt idx="5">
                  <c:v>5274.6666664000004</c:v>
                </c:pt>
                <c:pt idx="6">
                  <c:v>9561.3123595505622</c:v>
                </c:pt>
              </c:numCache>
            </c:numRef>
          </c:val>
          <c:extLst>
            <c:ext xmlns:c16="http://schemas.microsoft.com/office/drawing/2014/chart" uri="{C3380CC4-5D6E-409C-BE32-E72D297353CC}">
              <c16:uniqueId val="{00000001-A253-47D4-ABD7-0956369F43C9}"/>
            </c:ext>
          </c:extLst>
        </c:ser>
        <c:ser>
          <c:idx val="2"/>
          <c:order val="2"/>
          <c:tx>
            <c:strRef>
              <c:f>'A-synth-prod'!$BD$53</c:f>
              <c:strCache>
                <c:ptCount val="1"/>
                <c:pt idx="0">
                  <c:v>Manche</c:v>
                </c:pt>
              </c:strCache>
            </c:strRef>
          </c:tx>
          <c:spPr>
            <a:solidFill>
              <a:schemeClr val="accent3"/>
            </a:solidFill>
            <a:ln>
              <a:noFill/>
            </a:ln>
            <a:effectLst/>
            <a:sp3d/>
          </c:spPr>
          <c:invertIfNegative val="0"/>
          <c:cat>
            <c:strRef>
              <c:f>'A-synth-prod'!$BE$50:$BK$50</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'A-synth-prod'!$BE$53:$BK$53</c:f>
              <c:numCache>
                <c:formatCode>0</c:formatCode>
                <c:ptCount val="7"/>
                <c:pt idx="0">
                  <c:v>79.670060805714257</c:v>
                </c:pt>
                <c:pt idx="1">
                  <c:v>182906.26566416043</c:v>
                </c:pt>
                <c:pt idx="2">
                  <c:v>4960.1227011145493</c:v>
                </c:pt>
                <c:pt idx="3">
                  <c:v>10979.183138704278</c:v>
                </c:pt>
                <c:pt idx="4">
                  <c:v>1881.7615169382759</c:v>
                </c:pt>
                <c:pt idx="5">
                  <c:v>1813.1666665750004</c:v>
                </c:pt>
                <c:pt idx="6">
                  <c:v>23004.661316211881</c:v>
                </c:pt>
              </c:numCache>
            </c:numRef>
          </c:val>
          <c:extLst>
            <c:ext xmlns:c16="http://schemas.microsoft.com/office/drawing/2014/chart" uri="{C3380CC4-5D6E-409C-BE32-E72D297353CC}">
              <c16:uniqueId val="{00000002-A253-47D4-ABD7-0956369F43C9}"/>
            </c:ext>
          </c:extLst>
        </c:ser>
        <c:ser>
          <c:idx val="3"/>
          <c:order val="3"/>
          <c:tx>
            <c:strRef>
              <c:f>'A-synth-prod'!$BD$54</c:f>
              <c:strCache>
                <c:ptCount val="1"/>
                <c:pt idx="0">
                  <c:v>Orne </c:v>
                </c:pt>
              </c:strCache>
            </c:strRef>
          </c:tx>
          <c:spPr>
            <a:solidFill>
              <a:schemeClr val="accent4"/>
            </a:solidFill>
            <a:ln>
              <a:noFill/>
            </a:ln>
            <a:effectLst/>
            <a:sp3d/>
          </c:spPr>
          <c:invertIfNegative val="0"/>
          <c:cat>
            <c:strRef>
              <c:f>'A-synth-prod'!$BE$50:$BK$50</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'A-synth-prod'!$BE$54:$BK$54</c:f>
              <c:numCache>
                <c:formatCode>0</c:formatCode>
                <c:ptCount val="7"/>
                <c:pt idx="0">
                  <c:v>97.422628702639713</c:v>
                </c:pt>
                <c:pt idx="1">
                  <c:v>110594.48621553884</c:v>
                </c:pt>
                <c:pt idx="2">
                  <c:v>2125.036850087653</c:v>
                </c:pt>
                <c:pt idx="3">
                  <c:v>4046.487558818726</c:v>
                </c:pt>
                <c:pt idx="4">
                  <c:v>1095.4058729277217</c:v>
                </c:pt>
                <c:pt idx="5">
                  <c:v>560.43333330500002</c:v>
                </c:pt>
                <c:pt idx="6">
                  <c:v>26167.802247191015</c:v>
                </c:pt>
              </c:numCache>
            </c:numRef>
          </c:val>
          <c:extLst>
            <c:ext xmlns:c16="http://schemas.microsoft.com/office/drawing/2014/chart" uri="{C3380CC4-5D6E-409C-BE32-E72D297353CC}">
              <c16:uniqueId val="{00000003-A253-47D4-ABD7-0956369F43C9}"/>
            </c:ext>
          </c:extLst>
        </c:ser>
        <c:ser>
          <c:idx val="4"/>
          <c:order val="4"/>
          <c:tx>
            <c:strRef>
              <c:f>'A-synth-prod'!$BD$55</c:f>
              <c:strCache>
                <c:ptCount val="1"/>
                <c:pt idx="0">
                  <c:v>Seine-M</c:v>
                </c:pt>
              </c:strCache>
            </c:strRef>
          </c:tx>
          <c:spPr>
            <a:solidFill>
              <a:schemeClr val="accent5"/>
            </a:solidFill>
            <a:ln>
              <a:noFill/>
            </a:ln>
            <a:effectLst/>
            <a:sp3d/>
          </c:spPr>
          <c:invertIfNegative val="0"/>
          <c:cat>
            <c:strRef>
              <c:f>'A-synth-prod'!$BE$50:$BK$50</c:f>
              <c:strCache>
                <c:ptCount val="7"/>
                <c:pt idx="0">
                  <c:v>KUVC Miel</c:v>
                </c:pt>
                <c:pt idx="1">
                  <c:v>KUVC ind. Lait.  </c:v>
                </c:pt>
                <c:pt idx="2">
                  <c:v>KUVC fermiers</c:v>
                </c:pt>
                <c:pt idx="3">
                  <c:v>KUVC rest. à emporter</c:v>
                </c:pt>
                <c:pt idx="4">
                  <c:v>KUVC portage domicile</c:v>
                </c:pt>
                <c:pt idx="5">
                  <c:v>KUVC bière</c:v>
                </c:pt>
                <c:pt idx="6">
                  <c:v>KUVC cidricole</c:v>
                </c:pt>
              </c:strCache>
            </c:strRef>
          </c:cat>
          <c:val>
            <c:numRef>
              <c:f>'A-synth-prod'!$BE$55:$BK$55</c:f>
              <c:numCache>
                <c:formatCode>0</c:formatCode>
                <c:ptCount val="7"/>
                <c:pt idx="0">
                  <c:v>84.756941905852528</c:v>
                </c:pt>
                <c:pt idx="1">
                  <c:v>85072.681704260642</c:v>
                </c:pt>
                <c:pt idx="2">
                  <c:v>2917.5419220487274</c:v>
                </c:pt>
                <c:pt idx="3">
                  <c:v>38743.330554463275</c:v>
                </c:pt>
                <c:pt idx="4">
                  <c:v>3232.2313458416256</c:v>
                </c:pt>
                <c:pt idx="5">
                  <c:v>2010.9666665650002</c:v>
                </c:pt>
                <c:pt idx="6">
                  <c:v>5966.8340288924564</c:v>
                </c:pt>
              </c:numCache>
            </c:numRef>
          </c:val>
          <c:extLst>
            <c:ext xmlns:c16="http://schemas.microsoft.com/office/drawing/2014/chart" uri="{C3380CC4-5D6E-409C-BE32-E72D297353CC}">
              <c16:uniqueId val="{00000004-A253-47D4-ABD7-0956369F43C9}"/>
            </c:ext>
          </c:extLst>
        </c:ser>
        <c:dLbls>
          <c:showLegendKey val="0"/>
          <c:showVal val="0"/>
          <c:showCatName val="0"/>
          <c:showSerName val="0"/>
          <c:showPercent val="0"/>
          <c:showBubbleSize val="0"/>
        </c:dLbls>
        <c:gapWidth val="150"/>
        <c:shape val="box"/>
        <c:axId val="118562591"/>
        <c:axId val="275878367"/>
        <c:axId val="0"/>
      </c:bar3DChart>
      <c:catAx>
        <c:axId val="11856259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75878367"/>
        <c:crosses val="autoZero"/>
        <c:auto val="1"/>
        <c:lblAlgn val="ctr"/>
        <c:lblOffset val="100"/>
        <c:noMultiLvlLbl val="0"/>
      </c:catAx>
      <c:valAx>
        <c:axId val="27587836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185625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Figure : Potentiel total de demande annuelle en emballages en UVC facilement réemployables (hors ind.</a:t>
            </a:r>
            <a:r>
              <a:rPr lang="fr-FR" baseline="0"/>
              <a:t> laitière)</a:t>
            </a:r>
            <a:r>
              <a:rPr lang="fr-FR"/>
              <a:t>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'A-synth-prod'!$BD$51</c:f>
              <c:strCache>
                <c:ptCount val="1"/>
                <c:pt idx="0">
                  <c:v>Calvados</c:v>
                </c:pt>
              </c:strCache>
            </c:strRef>
          </c:tx>
          <c:spPr>
            <a:solidFill>
              <a:schemeClr val="accent1"/>
            </a:solidFill>
            <a:ln>
              <a:noFill/>
            </a:ln>
            <a:effectLst/>
            <a:sp3d/>
          </c:spPr>
          <c:invertIfNegative val="0"/>
          <c:cat>
            <c:strRef>
              <c:f>('A-synth-prod'!$BE$50,'A-synth-prod'!$BG$50:$BK$50)</c:f>
              <c:strCache>
                <c:ptCount val="6"/>
                <c:pt idx="0">
                  <c:v>KUVC Miel</c:v>
                </c:pt>
                <c:pt idx="1">
                  <c:v>KUVC fermiers</c:v>
                </c:pt>
                <c:pt idx="2">
                  <c:v>KUVC rest. à emporter</c:v>
                </c:pt>
                <c:pt idx="3">
                  <c:v>KUVC portage domicile</c:v>
                </c:pt>
                <c:pt idx="4">
                  <c:v>KUVC bière</c:v>
                </c:pt>
                <c:pt idx="5">
                  <c:v>KUVC cidricole</c:v>
                </c:pt>
              </c:strCache>
            </c:strRef>
          </c:cat>
          <c:val>
            <c:numRef>
              <c:f>('A-synth-prod'!$BE$51,'A-synth-prod'!$BG$51:$BK$51)</c:f>
              <c:numCache>
                <c:formatCode>0</c:formatCode>
                <c:ptCount val="6"/>
                <c:pt idx="0">
                  <c:v>97.422628702639699</c:v>
                </c:pt>
                <c:pt idx="1">
                  <c:v>2997.935729910409</c:v>
                </c:pt>
                <c:pt idx="2">
                  <c:v>17110.298426382717</c:v>
                </c:pt>
                <c:pt idx="3">
                  <c:v>1214.7387793387309</c:v>
                </c:pt>
                <c:pt idx="4">
                  <c:v>1417.5666665949998</c:v>
                </c:pt>
                <c:pt idx="5">
                  <c:v>24873.790048154096</c:v>
                </c:pt>
              </c:numCache>
            </c:numRef>
          </c:val>
          <c:extLst>
            <c:ext xmlns:c16="http://schemas.microsoft.com/office/drawing/2014/chart" uri="{C3380CC4-5D6E-409C-BE32-E72D297353CC}">
              <c16:uniqueId val="{00000000-77BF-48B8-B166-CF205FD0FE3D}"/>
            </c:ext>
          </c:extLst>
        </c:ser>
        <c:ser>
          <c:idx val="1"/>
          <c:order val="1"/>
          <c:tx>
            <c:strRef>
              <c:f>'A-synth-prod'!$BD$52</c:f>
              <c:strCache>
                <c:ptCount val="1"/>
                <c:pt idx="0">
                  <c:v>Eure</c:v>
                </c:pt>
              </c:strCache>
            </c:strRef>
          </c:tx>
          <c:spPr>
            <a:solidFill>
              <a:schemeClr val="accent2"/>
            </a:solidFill>
            <a:ln>
              <a:noFill/>
            </a:ln>
            <a:effectLst/>
            <a:sp3d/>
          </c:spPr>
          <c:invertIfNegative val="0"/>
          <c:cat>
            <c:strRef>
              <c:f>('A-synth-prod'!$BE$50,'A-synth-prod'!$BG$50:$BK$50)</c:f>
              <c:strCache>
                <c:ptCount val="6"/>
                <c:pt idx="0">
                  <c:v>KUVC Miel</c:v>
                </c:pt>
                <c:pt idx="1">
                  <c:v>KUVC fermiers</c:v>
                </c:pt>
                <c:pt idx="2">
                  <c:v>KUVC rest. à emporter</c:v>
                </c:pt>
                <c:pt idx="3">
                  <c:v>KUVC portage domicile</c:v>
                </c:pt>
                <c:pt idx="4">
                  <c:v>KUVC bière</c:v>
                </c:pt>
                <c:pt idx="5">
                  <c:v>KUVC cidricole</c:v>
                </c:pt>
              </c:strCache>
            </c:strRef>
          </c:cat>
          <c:val>
            <c:numRef>
              <c:f>('A-synth-prod'!$BE$52,'A-synth-prod'!$BG$52:$BK$52)</c:f>
              <c:numCache>
                <c:formatCode>0</c:formatCode>
                <c:ptCount val="6"/>
                <c:pt idx="0">
                  <c:v>84.756941905852528</c:v>
                </c:pt>
                <c:pt idx="1">
                  <c:v>2122.1858954302083</c:v>
                </c:pt>
                <c:pt idx="2">
                  <c:v>11991.200321630999</c:v>
                </c:pt>
                <c:pt idx="3">
                  <c:v>1575.862484953645</c:v>
                </c:pt>
                <c:pt idx="4">
                  <c:v>5274.6666664000004</c:v>
                </c:pt>
                <c:pt idx="5">
                  <c:v>9561.3123595505622</c:v>
                </c:pt>
              </c:numCache>
            </c:numRef>
          </c:val>
          <c:extLst>
            <c:ext xmlns:c16="http://schemas.microsoft.com/office/drawing/2014/chart" uri="{C3380CC4-5D6E-409C-BE32-E72D297353CC}">
              <c16:uniqueId val="{00000001-77BF-48B8-B166-CF205FD0FE3D}"/>
            </c:ext>
          </c:extLst>
        </c:ser>
        <c:ser>
          <c:idx val="2"/>
          <c:order val="2"/>
          <c:tx>
            <c:strRef>
              <c:f>'A-synth-prod'!$BD$53</c:f>
              <c:strCache>
                <c:ptCount val="1"/>
                <c:pt idx="0">
                  <c:v>Manche</c:v>
                </c:pt>
              </c:strCache>
            </c:strRef>
          </c:tx>
          <c:spPr>
            <a:solidFill>
              <a:schemeClr val="accent3"/>
            </a:solidFill>
            <a:ln>
              <a:noFill/>
            </a:ln>
            <a:effectLst/>
            <a:sp3d/>
          </c:spPr>
          <c:invertIfNegative val="0"/>
          <c:cat>
            <c:strRef>
              <c:f>('A-synth-prod'!$BE$50,'A-synth-prod'!$BG$50:$BK$50)</c:f>
              <c:strCache>
                <c:ptCount val="6"/>
                <c:pt idx="0">
                  <c:v>KUVC Miel</c:v>
                </c:pt>
                <c:pt idx="1">
                  <c:v>KUVC fermiers</c:v>
                </c:pt>
                <c:pt idx="2">
                  <c:v>KUVC rest. à emporter</c:v>
                </c:pt>
                <c:pt idx="3">
                  <c:v>KUVC portage domicile</c:v>
                </c:pt>
                <c:pt idx="4">
                  <c:v>KUVC bière</c:v>
                </c:pt>
                <c:pt idx="5">
                  <c:v>KUVC cidricole</c:v>
                </c:pt>
              </c:strCache>
            </c:strRef>
          </c:cat>
          <c:val>
            <c:numRef>
              <c:f>('A-synth-prod'!$BE$53,'A-synth-prod'!$BG$53:$BK$53)</c:f>
              <c:numCache>
                <c:formatCode>0</c:formatCode>
                <c:ptCount val="6"/>
                <c:pt idx="0">
                  <c:v>79.670060805714257</c:v>
                </c:pt>
                <c:pt idx="1">
                  <c:v>4960.1227011145493</c:v>
                </c:pt>
                <c:pt idx="2">
                  <c:v>10979.183138704278</c:v>
                </c:pt>
                <c:pt idx="3">
                  <c:v>1881.7615169382759</c:v>
                </c:pt>
                <c:pt idx="4">
                  <c:v>1813.1666665750004</c:v>
                </c:pt>
                <c:pt idx="5">
                  <c:v>23004.661316211881</c:v>
                </c:pt>
              </c:numCache>
            </c:numRef>
          </c:val>
          <c:extLst>
            <c:ext xmlns:c16="http://schemas.microsoft.com/office/drawing/2014/chart" uri="{C3380CC4-5D6E-409C-BE32-E72D297353CC}">
              <c16:uniqueId val="{00000002-77BF-48B8-B166-CF205FD0FE3D}"/>
            </c:ext>
          </c:extLst>
        </c:ser>
        <c:ser>
          <c:idx val="3"/>
          <c:order val="3"/>
          <c:tx>
            <c:strRef>
              <c:f>'A-synth-prod'!$BD$54</c:f>
              <c:strCache>
                <c:ptCount val="1"/>
                <c:pt idx="0">
                  <c:v>Orne </c:v>
                </c:pt>
              </c:strCache>
            </c:strRef>
          </c:tx>
          <c:spPr>
            <a:solidFill>
              <a:schemeClr val="accent4"/>
            </a:solidFill>
            <a:ln>
              <a:noFill/>
            </a:ln>
            <a:effectLst/>
            <a:sp3d/>
          </c:spPr>
          <c:invertIfNegative val="0"/>
          <c:cat>
            <c:strRef>
              <c:f>('A-synth-prod'!$BE$50,'A-synth-prod'!$BG$50:$BK$50)</c:f>
              <c:strCache>
                <c:ptCount val="6"/>
                <c:pt idx="0">
                  <c:v>KUVC Miel</c:v>
                </c:pt>
                <c:pt idx="1">
                  <c:v>KUVC fermiers</c:v>
                </c:pt>
                <c:pt idx="2">
                  <c:v>KUVC rest. à emporter</c:v>
                </c:pt>
                <c:pt idx="3">
                  <c:v>KUVC portage domicile</c:v>
                </c:pt>
                <c:pt idx="4">
                  <c:v>KUVC bière</c:v>
                </c:pt>
                <c:pt idx="5">
                  <c:v>KUVC cidricole</c:v>
                </c:pt>
              </c:strCache>
            </c:strRef>
          </c:cat>
          <c:val>
            <c:numRef>
              <c:f>('A-synth-prod'!$BE$54,'A-synth-prod'!$BG$54:$BK$54)</c:f>
              <c:numCache>
                <c:formatCode>0</c:formatCode>
                <c:ptCount val="6"/>
                <c:pt idx="0">
                  <c:v>97.422628702639713</c:v>
                </c:pt>
                <c:pt idx="1">
                  <c:v>2125.036850087653</c:v>
                </c:pt>
                <c:pt idx="2">
                  <c:v>4046.487558818726</c:v>
                </c:pt>
                <c:pt idx="3">
                  <c:v>1095.4058729277217</c:v>
                </c:pt>
                <c:pt idx="4">
                  <c:v>560.43333330500002</c:v>
                </c:pt>
                <c:pt idx="5">
                  <c:v>26167.802247191015</c:v>
                </c:pt>
              </c:numCache>
            </c:numRef>
          </c:val>
          <c:extLst>
            <c:ext xmlns:c16="http://schemas.microsoft.com/office/drawing/2014/chart" uri="{C3380CC4-5D6E-409C-BE32-E72D297353CC}">
              <c16:uniqueId val="{00000003-77BF-48B8-B166-CF205FD0FE3D}"/>
            </c:ext>
          </c:extLst>
        </c:ser>
        <c:ser>
          <c:idx val="4"/>
          <c:order val="4"/>
          <c:tx>
            <c:strRef>
              <c:f>'A-synth-prod'!$BD$55</c:f>
              <c:strCache>
                <c:ptCount val="1"/>
                <c:pt idx="0">
                  <c:v>Seine-M</c:v>
                </c:pt>
              </c:strCache>
            </c:strRef>
          </c:tx>
          <c:spPr>
            <a:solidFill>
              <a:schemeClr val="accent5"/>
            </a:solidFill>
            <a:ln>
              <a:noFill/>
            </a:ln>
            <a:effectLst/>
            <a:sp3d/>
          </c:spPr>
          <c:invertIfNegative val="0"/>
          <c:cat>
            <c:strRef>
              <c:f>('A-synth-prod'!$BE$50,'A-synth-prod'!$BG$50:$BK$50)</c:f>
              <c:strCache>
                <c:ptCount val="6"/>
                <c:pt idx="0">
                  <c:v>KUVC Miel</c:v>
                </c:pt>
                <c:pt idx="1">
                  <c:v>KUVC fermiers</c:v>
                </c:pt>
                <c:pt idx="2">
                  <c:v>KUVC rest. à emporter</c:v>
                </c:pt>
                <c:pt idx="3">
                  <c:v>KUVC portage domicile</c:v>
                </c:pt>
                <c:pt idx="4">
                  <c:v>KUVC bière</c:v>
                </c:pt>
                <c:pt idx="5">
                  <c:v>KUVC cidricole</c:v>
                </c:pt>
              </c:strCache>
            </c:strRef>
          </c:cat>
          <c:val>
            <c:numRef>
              <c:f>('A-synth-prod'!$BE$55,'A-synth-prod'!$BG$55:$BK$55)</c:f>
              <c:numCache>
                <c:formatCode>0</c:formatCode>
                <c:ptCount val="6"/>
                <c:pt idx="0">
                  <c:v>84.756941905852528</c:v>
                </c:pt>
                <c:pt idx="1">
                  <c:v>2917.5419220487274</c:v>
                </c:pt>
                <c:pt idx="2">
                  <c:v>38743.330554463275</c:v>
                </c:pt>
                <c:pt idx="3">
                  <c:v>3232.2313458416256</c:v>
                </c:pt>
                <c:pt idx="4">
                  <c:v>2010.9666665650002</c:v>
                </c:pt>
                <c:pt idx="5">
                  <c:v>5966.8340288924564</c:v>
                </c:pt>
              </c:numCache>
            </c:numRef>
          </c:val>
          <c:extLst>
            <c:ext xmlns:c16="http://schemas.microsoft.com/office/drawing/2014/chart" uri="{C3380CC4-5D6E-409C-BE32-E72D297353CC}">
              <c16:uniqueId val="{00000004-77BF-48B8-B166-CF205FD0FE3D}"/>
            </c:ext>
          </c:extLst>
        </c:ser>
        <c:dLbls>
          <c:showLegendKey val="0"/>
          <c:showVal val="0"/>
          <c:showCatName val="0"/>
          <c:showSerName val="0"/>
          <c:showPercent val="0"/>
          <c:showBubbleSize val="0"/>
        </c:dLbls>
        <c:gapWidth val="150"/>
        <c:shape val="box"/>
        <c:axId val="905079728"/>
        <c:axId val="738712672"/>
        <c:axId val="0"/>
      </c:bar3DChart>
      <c:catAx>
        <c:axId val="905079728"/>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38712672"/>
        <c:crosses val="autoZero"/>
        <c:auto val="1"/>
        <c:lblAlgn val="ctr"/>
        <c:lblOffset val="100"/>
        <c:noMultiLvlLbl val="0"/>
      </c:catAx>
      <c:valAx>
        <c:axId val="7387126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905079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 du gisement total d'emballages alimentaires consommés par les ménages normands en millions d'UVC  (MUVC) (Soleviam 2023) </a:t>
            </a:r>
          </a:p>
        </c:rich>
      </c:tx>
      <c:layout>
        <c:manualLayout>
          <c:xMode val="edge"/>
          <c:yMode val="edge"/>
          <c:x val="0.11664228989840415"/>
          <c:y val="1.03348995724443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stacked"/>
        <c:varyColors val="0"/>
        <c:ser>
          <c:idx val="0"/>
          <c:order val="0"/>
          <c:tx>
            <c:strRef>
              <c:f>'A-conso'!$BD$59</c:f>
              <c:strCache>
                <c:ptCount val="1"/>
                <c:pt idx="0">
                  <c:v>Calvados</c:v>
                </c:pt>
              </c:strCache>
            </c:strRef>
          </c:tx>
          <c:spPr>
            <a:solidFill>
              <a:schemeClr val="accent1"/>
            </a:solidFill>
            <a:ln>
              <a:noFill/>
            </a:ln>
            <a:effectLst/>
          </c:spPr>
          <c:invertIfNegative val="0"/>
          <c:cat>
            <c:strRef>
              <c:f>'A-conso'!$BC$60:$BC$75</c:f>
              <c:strCache>
                <c:ptCount val="16"/>
                <c:pt idx="0">
                  <c:v>Vin</c:v>
                </c:pt>
                <c:pt idx="1">
                  <c:v>Cidre</c:v>
                </c:pt>
                <c:pt idx="2">
                  <c:v>Bière, panaché</c:v>
                </c:pt>
                <c:pt idx="3">
                  <c:v>Miel</c:v>
                </c:pt>
                <c:pt idx="4">
                  <c:v>Eaux</c:v>
                </c:pt>
                <c:pt idx="5">
                  <c:v>Apéritifs et whiskies</c:v>
                </c:pt>
                <c:pt idx="6">
                  <c:v>Champagnes et mousseux</c:v>
                </c:pt>
                <c:pt idx="7">
                  <c:v>Jus et nectars</c:v>
                </c:pt>
                <c:pt idx="8">
                  <c:v>Conserves légumes</c:v>
                </c:pt>
                <c:pt idx="9">
                  <c:v>Boissons sans alcool</c:v>
                </c:pt>
                <c:pt idx="10">
                  <c:v>Lait</c:v>
                </c:pt>
                <c:pt idx="11">
                  <c:v>Yaourt</c:v>
                </c:pt>
                <c:pt idx="12">
                  <c:v>Confitures et fruits au sirop</c:v>
                </c:pt>
                <c:pt idx="13">
                  <c:v>Alimentation infaltile </c:v>
                </c:pt>
                <c:pt idx="14">
                  <c:v>Surgelés </c:v>
                </c:pt>
                <c:pt idx="15">
                  <c:v>Chien et chat </c:v>
                </c:pt>
              </c:strCache>
            </c:strRef>
          </c:cat>
          <c:val>
            <c:numRef>
              <c:f>'A-conso'!$BD$60:$BD$75</c:f>
              <c:numCache>
                <c:formatCode>0.00</c:formatCode>
                <c:ptCount val="16"/>
                <c:pt idx="0" formatCode="0">
                  <c:v>14.125215455359612</c:v>
                </c:pt>
                <c:pt idx="1">
                  <c:v>0.63632421088997981</c:v>
                </c:pt>
                <c:pt idx="2" formatCode="0">
                  <c:v>38.957620032041326</c:v>
                </c:pt>
                <c:pt idx="3">
                  <c:v>0.80176209162464152</c:v>
                </c:pt>
                <c:pt idx="4" formatCode="0">
                  <c:v>57.604086459513965</c:v>
                </c:pt>
                <c:pt idx="5">
                  <c:v>2.6891100553090479</c:v>
                </c:pt>
                <c:pt idx="6">
                  <c:v>2.3443523559104515</c:v>
                </c:pt>
                <c:pt idx="7" formatCode="0">
                  <c:v>13.090942357163824</c:v>
                </c:pt>
                <c:pt idx="8" formatCode="0">
                  <c:v>13.494801376459321</c:v>
                </c:pt>
                <c:pt idx="9" formatCode="0">
                  <c:v>26.91080099305611</c:v>
                </c:pt>
                <c:pt idx="10" formatCode="0">
                  <c:v>31.934413184292794</c:v>
                </c:pt>
                <c:pt idx="11" formatCode="0">
                  <c:v>82.653195875817644</c:v>
                </c:pt>
                <c:pt idx="12" formatCode="0">
                  <c:v>16.292263851579357</c:v>
                </c:pt>
                <c:pt idx="13" formatCode="0">
                  <c:v>8.2446341256178481</c:v>
                </c:pt>
                <c:pt idx="14" formatCode="0">
                  <c:v>14.312369635033138</c:v>
                </c:pt>
                <c:pt idx="15" formatCode="0">
                  <c:v>12.618131797988607</c:v>
                </c:pt>
              </c:numCache>
            </c:numRef>
          </c:val>
          <c:extLst>
            <c:ext xmlns:c16="http://schemas.microsoft.com/office/drawing/2014/chart" uri="{C3380CC4-5D6E-409C-BE32-E72D297353CC}">
              <c16:uniqueId val="{00000000-A005-4EF9-81C7-EFF497F92F56}"/>
            </c:ext>
          </c:extLst>
        </c:ser>
        <c:ser>
          <c:idx val="1"/>
          <c:order val="1"/>
          <c:tx>
            <c:strRef>
              <c:f>'A-conso'!$BE$59</c:f>
              <c:strCache>
                <c:ptCount val="1"/>
                <c:pt idx="0">
                  <c:v>Eure</c:v>
                </c:pt>
              </c:strCache>
            </c:strRef>
          </c:tx>
          <c:spPr>
            <a:solidFill>
              <a:schemeClr val="accent2"/>
            </a:solidFill>
            <a:ln>
              <a:noFill/>
            </a:ln>
            <a:effectLst/>
          </c:spPr>
          <c:invertIfNegative val="0"/>
          <c:cat>
            <c:strRef>
              <c:f>'A-conso'!$BC$60:$BC$75</c:f>
              <c:strCache>
                <c:ptCount val="16"/>
                <c:pt idx="0">
                  <c:v>Vin</c:v>
                </c:pt>
                <c:pt idx="1">
                  <c:v>Cidre</c:v>
                </c:pt>
                <c:pt idx="2">
                  <c:v>Bière, panaché</c:v>
                </c:pt>
                <c:pt idx="3">
                  <c:v>Miel</c:v>
                </c:pt>
                <c:pt idx="4">
                  <c:v>Eaux</c:v>
                </c:pt>
                <c:pt idx="5">
                  <c:v>Apéritifs et whiskies</c:v>
                </c:pt>
                <c:pt idx="6">
                  <c:v>Champagnes et mousseux</c:v>
                </c:pt>
                <c:pt idx="7">
                  <c:v>Jus et nectars</c:v>
                </c:pt>
                <c:pt idx="8">
                  <c:v>Conserves légumes</c:v>
                </c:pt>
                <c:pt idx="9">
                  <c:v>Boissons sans alcool</c:v>
                </c:pt>
                <c:pt idx="10">
                  <c:v>Lait</c:v>
                </c:pt>
                <c:pt idx="11">
                  <c:v>Yaourt</c:v>
                </c:pt>
                <c:pt idx="12">
                  <c:v>Confitures et fruits au sirop</c:v>
                </c:pt>
                <c:pt idx="13">
                  <c:v>Alimentation infaltile </c:v>
                </c:pt>
                <c:pt idx="14">
                  <c:v>Surgelés </c:v>
                </c:pt>
                <c:pt idx="15">
                  <c:v>Chien et chat </c:v>
                </c:pt>
              </c:strCache>
            </c:strRef>
          </c:cat>
          <c:val>
            <c:numRef>
              <c:f>'A-conso'!$BE$60:$BE$75</c:f>
              <c:numCache>
                <c:formatCode>0.00</c:formatCode>
                <c:ptCount val="16"/>
                <c:pt idx="0" formatCode="0">
                  <c:v>10.084265455997539</c:v>
                </c:pt>
                <c:pt idx="1">
                  <c:v>0.4542842039452169</c:v>
                </c:pt>
                <c:pt idx="2" formatCode="0">
                  <c:v>27.812601031011344</c:v>
                </c:pt>
                <c:pt idx="3">
                  <c:v>0.57239351782283077</c:v>
                </c:pt>
                <c:pt idx="4" formatCode="0">
                  <c:v>41.124675304514376</c:v>
                </c:pt>
                <c:pt idx="5">
                  <c:v>1.9198078587777743</c:v>
                </c:pt>
                <c:pt idx="6">
                  <c:v>1.673678646113957</c:v>
                </c:pt>
                <c:pt idx="7" formatCode="0">
                  <c:v>9.3458778180060875</c:v>
                </c:pt>
                <c:pt idx="8" formatCode="0">
                  <c:v>9.6342006099837008</c:v>
                </c:pt>
                <c:pt idx="9" formatCode="0">
                  <c:v>19.212143114215674</c:v>
                </c:pt>
                <c:pt idx="10" formatCode="0">
                  <c:v>22.79859735588844</c:v>
                </c:pt>
                <c:pt idx="11" formatCode="0">
                  <c:v>59.007720670345435</c:v>
                </c:pt>
                <c:pt idx="12" formatCode="0">
                  <c:v>11.631363364170104</c:v>
                </c:pt>
                <c:pt idx="13" formatCode="0">
                  <c:v>5.8860043142747145</c:v>
                </c:pt>
                <c:pt idx="14" formatCode="0">
                  <c:v>10.217878457157898</c:v>
                </c:pt>
                <c:pt idx="15" formatCode="0">
                  <c:v>9.0083291834957091</c:v>
                </c:pt>
              </c:numCache>
            </c:numRef>
          </c:val>
          <c:extLst>
            <c:ext xmlns:c16="http://schemas.microsoft.com/office/drawing/2014/chart" uri="{C3380CC4-5D6E-409C-BE32-E72D297353CC}">
              <c16:uniqueId val="{00000001-A005-4EF9-81C7-EFF497F92F56}"/>
            </c:ext>
          </c:extLst>
        </c:ser>
        <c:ser>
          <c:idx val="2"/>
          <c:order val="2"/>
          <c:tx>
            <c:strRef>
              <c:f>'A-conso'!$BF$59</c:f>
              <c:strCache>
                <c:ptCount val="1"/>
                <c:pt idx="0">
                  <c:v>Manche</c:v>
                </c:pt>
              </c:strCache>
            </c:strRef>
          </c:tx>
          <c:spPr>
            <a:solidFill>
              <a:schemeClr val="accent3"/>
            </a:solidFill>
            <a:ln>
              <a:noFill/>
            </a:ln>
            <a:effectLst/>
          </c:spPr>
          <c:invertIfNegative val="0"/>
          <c:cat>
            <c:strRef>
              <c:f>'A-conso'!$BC$60:$BC$75</c:f>
              <c:strCache>
                <c:ptCount val="16"/>
                <c:pt idx="0">
                  <c:v>Vin</c:v>
                </c:pt>
                <c:pt idx="1">
                  <c:v>Cidre</c:v>
                </c:pt>
                <c:pt idx="2">
                  <c:v>Bière, panaché</c:v>
                </c:pt>
                <c:pt idx="3">
                  <c:v>Miel</c:v>
                </c:pt>
                <c:pt idx="4">
                  <c:v>Eaux</c:v>
                </c:pt>
                <c:pt idx="5">
                  <c:v>Apéritifs et whiskies</c:v>
                </c:pt>
                <c:pt idx="6">
                  <c:v>Champagnes et mousseux</c:v>
                </c:pt>
                <c:pt idx="7">
                  <c:v>Jus et nectars</c:v>
                </c:pt>
                <c:pt idx="8">
                  <c:v>Conserves légumes</c:v>
                </c:pt>
                <c:pt idx="9">
                  <c:v>Boissons sans alcool</c:v>
                </c:pt>
                <c:pt idx="10">
                  <c:v>Lait</c:v>
                </c:pt>
                <c:pt idx="11">
                  <c:v>Yaourt</c:v>
                </c:pt>
                <c:pt idx="12">
                  <c:v>Confitures et fruits au sirop</c:v>
                </c:pt>
                <c:pt idx="13">
                  <c:v>Alimentation infaltile </c:v>
                </c:pt>
                <c:pt idx="14">
                  <c:v>Surgelés </c:v>
                </c:pt>
                <c:pt idx="15">
                  <c:v>Chien et chat </c:v>
                </c:pt>
              </c:strCache>
            </c:strRef>
          </c:cat>
          <c:val>
            <c:numRef>
              <c:f>'A-conso'!$BF$60:$BF$75</c:f>
              <c:numCache>
                <c:formatCode>0.00</c:formatCode>
                <c:ptCount val="16"/>
                <c:pt idx="0" formatCode="0">
                  <c:v>9.7551051170489398</c:v>
                </c:pt>
                <c:pt idx="1">
                  <c:v>0.43945592089355751</c:v>
                </c:pt>
                <c:pt idx="2" formatCode="0">
                  <c:v>26.904770389071516</c:v>
                </c:pt>
                <c:pt idx="3">
                  <c:v>0.55371003064563729</c:v>
                </c:pt>
                <c:pt idx="4" formatCode="0">
                  <c:v>39.782325470364157</c:v>
                </c:pt>
                <c:pt idx="5">
                  <c:v>1.8571434427854676</c:v>
                </c:pt>
                <c:pt idx="6">
                  <c:v>1.6190481296078434</c:v>
                </c:pt>
                <c:pt idx="7" formatCode="0">
                  <c:v>9.0408191775160667</c:v>
                </c:pt>
                <c:pt idx="8" formatCode="0">
                  <c:v>9.319730830095569</c:v>
                </c:pt>
                <c:pt idx="9" formatCode="0">
                  <c:v>18.585039874321968</c:v>
                </c:pt>
                <c:pt idx="10" formatCode="0">
                  <c:v>22.054428723481632</c:v>
                </c:pt>
                <c:pt idx="11" formatCode="0">
                  <c:v>57.08165065352695</c:v>
                </c:pt>
                <c:pt idx="12" formatCode="0">
                  <c:v>11.251704228451148</c:v>
                </c:pt>
                <c:pt idx="13" formatCode="0">
                  <c:v>5.6938793465620376</c:v>
                </c:pt>
                <c:pt idx="14" formatCode="0">
                  <c:v>9.8843568584882213</c:v>
                </c:pt>
                <c:pt idx="15" formatCode="0">
                  <c:v>8.7142884623010399</c:v>
                </c:pt>
              </c:numCache>
            </c:numRef>
          </c:val>
          <c:extLst>
            <c:ext xmlns:c16="http://schemas.microsoft.com/office/drawing/2014/chart" uri="{C3380CC4-5D6E-409C-BE32-E72D297353CC}">
              <c16:uniqueId val="{00000002-A005-4EF9-81C7-EFF497F92F56}"/>
            </c:ext>
          </c:extLst>
        </c:ser>
        <c:ser>
          <c:idx val="3"/>
          <c:order val="3"/>
          <c:tx>
            <c:strRef>
              <c:f>'A-conso'!$BG$59</c:f>
              <c:strCache>
                <c:ptCount val="1"/>
                <c:pt idx="0">
                  <c:v>Orne</c:v>
                </c:pt>
              </c:strCache>
            </c:strRef>
          </c:tx>
          <c:spPr>
            <a:solidFill>
              <a:schemeClr val="accent4"/>
            </a:solidFill>
            <a:ln>
              <a:noFill/>
            </a:ln>
            <a:effectLst/>
          </c:spPr>
          <c:invertIfNegative val="0"/>
          <c:cat>
            <c:strRef>
              <c:f>'A-conso'!$BC$60:$BC$75</c:f>
              <c:strCache>
                <c:ptCount val="16"/>
                <c:pt idx="0">
                  <c:v>Vin</c:v>
                </c:pt>
                <c:pt idx="1">
                  <c:v>Cidre</c:v>
                </c:pt>
                <c:pt idx="2">
                  <c:v>Bière, panaché</c:v>
                </c:pt>
                <c:pt idx="3">
                  <c:v>Miel</c:v>
                </c:pt>
                <c:pt idx="4">
                  <c:v>Eaux</c:v>
                </c:pt>
                <c:pt idx="5">
                  <c:v>Apéritifs et whiskies</c:v>
                </c:pt>
                <c:pt idx="6">
                  <c:v>Champagnes et mousseux</c:v>
                </c:pt>
                <c:pt idx="7">
                  <c:v>Jus et nectars</c:v>
                </c:pt>
                <c:pt idx="8">
                  <c:v>Conserves légumes</c:v>
                </c:pt>
                <c:pt idx="9">
                  <c:v>Boissons sans alcool</c:v>
                </c:pt>
                <c:pt idx="10">
                  <c:v>Lait</c:v>
                </c:pt>
                <c:pt idx="11">
                  <c:v>Yaourt</c:v>
                </c:pt>
                <c:pt idx="12">
                  <c:v>Confitures et fruits au sirop</c:v>
                </c:pt>
                <c:pt idx="13">
                  <c:v>Alimentation infaltile </c:v>
                </c:pt>
                <c:pt idx="14">
                  <c:v>Surgelés </c:v>
                </c:pt>
                <c:pt idx="15">
                  <c:v>Chien et chat </c:v>
                </c:pt>
              </c:strCache>
            </c:strRef>
          </c:cat>
          <c:val>
            <c:numRef>
              <c:f>'A-conso'!$BG$60:$BG$75</c:f>
              <c:numCache>
                <c:formatCode>0.00</c:formatCode>
                <c:ptCount val="16"/>
                <c:pt idx="0" formatCode="0">
                  <c:v>4.4456167649557559</c:v>
                </c:pt>
                <c:pt idx="1">
                  <c:v>0.20026976500428301</c:v>
                </c:pt>
                <c:pt idx="2" formatCode="0">
                  <c:v>12.261097841980485</c:v>
                </c:pt>
                <c:pt idx="3">
                  <c:v>0.25233788520231498</c:v>
                </c:pt>
                <c:pt idx="4" formatCode="0">
                  <c:v>18.129683989861412</c:v>
                </c:pt>
                <c:pt idx="5">
                  <c:v>0.84634126696856449</c:v>
                </c:pt>
                <c:pt idx="6">
                  <c:v>0.73783597633156894</c:v>
                </c:pt>
                <c:pt idx="7" formatCode="0">
                  <c:v>4.1201008930447696</c:v>
                </c:pt>
                <c:pt idx="8" formatCode="0">
                  <c:v>4.2472070906481072</c:v>
                </c:pt>
                <c:pt idx="9" formatCode="0">
                  <c:v>8.4696129720077575</c:v>
                </c:pt>
                <c:pt idx="10" formatCode="0">
                  <c:v>10.050690064146835</c:v>
                </c:pt>
                <c:pt idx="11" formatCode="0">
                  <c:v>26.013368392429392</c:v>
                </c:pt>
                <c:pt idx="12" formatCode="0">
                  <c:v>5.1276500203882982</c:v>
                </c:pt>
                <c:pt idx="13" formatCode="0">
                  <c:v>2.5948265218047193</c:v>
                </c:pt>
                <c:pt idx="14" formatCode="0">
                  <c:v>4.5045196370158394</c:v>
                </c:pt>
                <c:pt idx="15" formatCode="0">
                  <c:v>3.9712936373140328</c:v>
                </c:pt>
              </c:numCache>
            </c:numRef>
          </c:val>
          <c:extLst>
            <c:ext xmlns:c16="http://schemas.microsoft.com/office/drawing/2014/chart" uri="{C3380CC4-5D6E-409C-BE32-E72D297353CC}">
              <c16:uniqueId val="{00000003-A005-4EF9-81C7-EFF497F92F56}"/>
            </c:ext>
          </c:extLst>
        </c:ser>
        <c:ser>
          <c:idx val="4"/>
          <c:order val="4"/>
          <c:tx>
            <c:strRef>
              <c:f>'A-conso'!$BH$59</c:f>
              <c:strCache>
                <c:ptCount val="1"/>
                <c:pt idx="0">
                  <c:v>Seine-Maritime</c:v>
                </c:pt>
              </c:strCache>
            </c:strRef>
          </c:tx>
          <c:spPr>
            <a:solidFill>
              <a:schemeClr val="accent5"/>
            </a:solidFill>
            <a:ln>
              <a:noFill/>
            </a:ln>
            <a:effectLst/>
          </c:spPr>
          <c:invertIfNegative val="0"/>
          <c:cat>
            <c:strRef>
              <c:f>'A-conso'!$BC$60:$BC$75</c:f>
              <c:strCache>
                <c:ptCount val="16"/>
                <c:pt idx="0">
                  <c:v>Vin</c:v>
                </c:pt>
                <c:pt idx="1">
                  <c:v>Cidre</c:v>
                </c:pt>
                <c:pt idx="2">
                  <c:v>Bière, panaché</c:v>
                </c:pt>
                <c:pt idx="3">
                  <c:v>Miel</c:v>
                </c:pt>
                <c:pt idx="4">
                  <c:v>Eaux</c:v>
                </c:pt>
                <c:pt idx="5">
                  <c:v>Apéritifs et whiskies</c:v>
                </c:pt>
                <c:pt idx="6">
                  <c:v>Champagnes et mousseux</c:v>
                </c:pt>
                <c:pt idx="7">
                  <c:v>Jus et nectars</c:v>
                </c:pt>
                <c:pt idx="8">
                  <c:v>Conserves légumes</c:v>
                </c:pt>
                <c:pt idx="9">
                  <c:v>Boissons sans alcool</c:v>
                </c:pt>
                <c:pt idx="10">
                  <c:v>Lait</c:v>
                </c:pt>
                <c:pt idx="11">
                  <c:v>Yaourt</c:v>
                </c:pt>
                <c:pt idx="12">
                  <c:v>Confitures et fruits au sirop</c:v>
                </c:pt>
                <c:pt idx="13">
                  <c:v>Alimentation infaltile </c:v>
                </c:pt>
                <c:pt idx="14">
                  <c:v>Surgelés </c:v>
                </c:pt>
                <c:pt idx="15">
                  <c:v>Chien et chat </c:v>
                </c:pt>
              </c:strCache>
            </c:strRef>
          </c:cat>
          <c:val>
            <c:numRef>
              <c:f>'A-conso'!$BH$60:$BH$75</c:f>
              <c:numCache>
                <c:formatCode>0.00</c:formatCode>
                <c:ptCount val="16"/>
                <c:pt idx="0" formatCode="0">
                  <c:v>23.251797206638155</c:v>
                </c:pt>
                <c:pt idx="1">
                  <c:v>1.047465899266963</c:v>
                </c:pt>
                <c:pt idx="2" formatCode="0">
                  <c:v>64.128910705895336</c:v>
                </c:pt>
                <c:pt idx="3">
                  <c:v>1.3197964747045758</c:v>
                </c:pt>
                <c:pt idx="4" formatCode="0">
                  <c:v>94.823228775746131</c:v>
                </c:pt>
                <c:pt idx="5">
                  <c:v>4.4265973761591475</c:v>
                </c:pt>
                <c:pt idx="6">
                  <c:v>3.8590848920361793</c:v>
                </c:pt>
                <c:pt idx="7" formatCode="0">
                  <c:v>21.549259754269254</c:v>
                </c:pt>
                <c:pt idx="8" formatCode="0">
                  <c:v>22.214060092813302</c:v>
                </c:pt>
                <c:pt idx="9" formatCode="0">
                  <c:v>44.298403046398498</c:v>
                </c:pt>
                <c:pt idx="10" formatCode="0">
                  <c:v>52.56787067219031</c:v>
                </c:pt>
                <c:pt idx="11" formatCode="0">
                  <c:v>136.0570644078806</c:v>
                </c:pt>
                <c:pt idx="12" formatCode="0">
                  <c:v>26.819018535411097</c:v>
                </c:pt>
                <c:pt idx="13" formatCode="0">
                  <c:v>13.571655691740681</c:v>
                </c:pt>
                <c:pt idx="14" formatCode="0">
                  <c:v>23.559875412304912</c:v>
                </c:pt>
                <c:pt idx="15" formatCode="0">
                  <c:v>20.770956918900612</c:v>
                </c:pt>
              </c:numCache>
            </c:numRef>
          </c:val>
          <c:extLst>
            <c:ext xmlns:c16="http://schemas.microsoft.com/office/drawing/2014/chart" uri="{C3380CC4-5D6E-409C-BE32-E72D297353CC}">
              <c16:uniqueId val="{00000004-A005-4EF9-81C7-EFF497F92F56}"/>
            </c:ext>
          </c:extLst>
        </c:ser>
        <c:dLbls>
          <c:showLegendKey val="0"/>
          <c:showVal val="0"/>
          <c:showCatName val="0"/>
          <c:showSerName val="0"/>
          <c:showPercent val="0"/>
          <c:showBubbleSize val="0"/>
        </c:dLbls>
        <c:gapWidth val="150"/>
        <c:overlap val="100"/>
        <c:axId val="1606922543"/>
        <c:axId val="1534768751"/>
      </c:barChart>
      <c:catAx>
        <c:axId val="160692254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534768751"/>
        <c:crosses val="autoZero"/>
        <c:auto val="1"/>
        <c:lblAlgn val="ctr"/>
        <c:lblOffset val="100"/>
        <c:noMultiLvlLbl val="0"/>
      </c:catAx>
      <c:valAx>
        <c:axId val="1534768751"/>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6069225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Répartition du gisement total d'emballages alimentaires facilement réemployables consommés par les ménages normands en milliers d'UVC  (KUVC)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stacked"/>
        <c:varyColors val="0"/>
        <c:ser>
          <c:idx val="0"/>
          <c:order val="0"/>
          <c:tx>
            <c:strRef>
              <c:f>'A-conso'!$BL$81</c:f>
              <c:strCache>
                <c:ptCount val="1"/>
                <c:pt idx="0">
                  <c:v>Calvados</c:v>
                </c:pt>
              </c:strCache>
            </c:strRef>
          </c:tx>
          <c:spPr>
            <a:solidFill>
              <a:schemeClr val="accent1"/>
            </a:solidFill>
            <a:ln>
              <a:noFill/>
            </a:ln>
            <a:effectLst/>
          </c:spPr>
          <c:invertIfNegative val="0"/>
          <c:cat>
            <c:strRef>
              <c:f>'A-conso'!$BK$82:$BK$97</c:f>
              <c:strCache>
                <c:ptCount val="16"/>
                <c:pt idx="0">
                  <c:v>Vin</c:v>
                </c:pt>
                <c:pt idx="1">
                  <c:v>Cidre</c:v>
                </c:pt>
                <c:pt idx="2">
                  <c:v>Bière, panaché</c:v>
                </c:pt>
                <c:pt idx="3">
                  <c:v>Miel</c:v>
                </c:pt>
                <c:pt idx="4">
                  <c:v>Eaux</c:v>
                </c:pt>
                <c:pt idx="5">
                  <c:v>Apéritifs et whiskies</c:v>
                </c:pt>
                <c:pt idx="6">
                  <c:v>Champagnes et mousseux</c:v>
                </c:pt>
                <c:pt idx="7">
                  <c:v>Jus et nectars</c:v>
                </c:pt>
                <c:pt idx="8">
                  <c:v>Conserves légumes</c:v>
                </c:pt>
                <c:pt idx="9">
                  <c:v>Boissons sans alcool</c:v>
                </c:pt>
                <c:pt idx="10">
                  <c:v>Lait</c:v>
                </c:pt>
                <c:pt idx="11">
                  <c:v>Yaourt</c:v>
                </c:pt>
                <c:pt idx="12">
                  <c:v>Confitures et fruits au sirop</c:v>
                </c:pt>
                <c:pt idx="13">
                  <c:v>Alimentation infaltile </c:v>
                </c:pt>
                <c:pt idx="14">
                  <c:v>Surgelés </c:v>
                </c:pt>
                <c:pt idx="15">
                  <c:v>Chien et chat </c:v>
                </c:pt>
              </c:strCache>
            </c:strRef>
          </c:cat>
          <c:val>
            <c:numRef>
              <c:f>'A-conso'!$BL$82:$BL$97</c:f>
              <c:numCache>
                <c:formatCode>0</c:formatCode>
                <c:ptCount val="16"/>
                <c:pt idx="0">
                  <c:v>1059.3911591519709</c:v>
                </c:pt>
                <c:pt idx="1">
                  <c:v>190.89726326699392</c:v>
                </c:pt>
                <c:pt idx="2">
                  <c:v>11687.286009612399</c:v>
                </c:pt>
                <c:pt idx="3">
                  <c:v>100.22026145308018</c:v>
                </c:pt>
                <c:pt idx="4">
                  <c:v>1440.1021614878491</c:v>
                </c:pt>
                <c:pt idx="5">
                  <c:v>67.227751382726197</c:v>
                </c:pt>
                <c:pt idx="6">
                  <c:v>175.82642669328385</c:v>
                </c:pt>
                <c:pt idx="7">
                  <c:v>981.82067678728674</c:v>
                </c:pt>
                <c:pt idx="8">
                  <c:v>1012.1101032344491</c:v>
                </c:pt>
                <c:pt idx="9">
                  <c:v>2018.3100744792077</c:v>
                </c:pt>
                <c:pt idx="10">
                  <c:v>2395.0809888219596</c:v>
                </c:pt>
                <c:pt idx="11">
                  <c:v>6198.9896906863232</c:v>
                </c:pt>
                <c:pt idx="12">
                  <c:v>2036.5329814474196</c:v>
                </c:pt>
                <c:pt idx="13">
                  <c:v>41.223170628089242</c:v>
                </c:pt>
                <c:pt idx="14">
                  <c:v>71.561848175165679</c:v>
                </c:pt>
                <c:pt idx="15">
                  <c:v>315.4532949497152</c:v>
                </c:pt>
              </c:numCache>
            </c:numRef>
          </c:val>
          <c:extLst>
            <c:ext xmlns:c16="http://schemas.microsoft.com/office/drawing/2014/chart" uri="{C3380CC4-5D6E-409C-BE32-E72D297353CC}">
              <c16:uniqueId val="{00000000-E447-49CD-A779-B7331846DF64}"/>
            </c:ext>
          </c:extLst>
        </c:ser>
        <c:ser>
          <c:idx val="1"/>
          <c:order val="1"/>
          <c:tx>
            <c:strRef>
              <c:f>'A-conso'!$BM$81</c:f>
              <c:strCache>
                <c:ptCount val="1"/>
                <c:pt idx="0">
                  <c:v>Eure</c:v>
                </c:pt>
              </c:strCache>
            </c:strRef>
          </c:tx>
          <c:spPr>
            <a:solidFill>
              <a:schemeClr val="accent2"/>
            </a:solidFill>
            <a:ln>
              <a:noFill/>
            </a:ln>
            <a:effectLst/>
          </c:spPr>
          <c:invertIfNegative val="0"/>
          <c:cat>
            <c:strRef>
              <c:f>'A-conso'!$BK$82:$BK$97</c:f>
              <c:strCache>
                <c:ptCount val="16"/>
                <c:pt idx="0">
                  <c:v>Vin</c:v>
                </c:pt>
                <c:pt idx="1">
                  <c:v>Cidre</c:v>
                </c:pt>
                <c:pt idx="2">
                  <c:v>Bière, panaché</c:v>
                </c:pt>
                <c:pt idx="3">
                  <c:v>Miel</c:v>
                </c:pt>
                <c:pt idx="4">
                  <c:v>Eaux</c:v>
                </c:pt>
                <c:pt idx="5">
                  <c:v>Apéritifs et whiskies</c:v>
                </c:pt>
                <c:pt idx="6">
                  <c:v>Champagnes et mousseux</c:v>
                </c:pt>
                <c:pt idx="7">
                  <c:v>Jus et nectars</c:v>
                </c:pt>
                <c:pt idx="8">
                  <c:v>Conserves légumes</c:v>
                </c:pt>
                <c:pt idx="9">
                  <c:v>Boissons sans alcool</c:v>
                </c:pt>
                <c:pt idx="10">
                  <c:v>Lait</c:v>
                </c:pt>
                <c:pt idx="11">
                  <c:v>Yaourt</c:v>
                </c:pt>
                <c:pt idx="12">
                  <c:v>Confitures et fruits au sirop</c:v>
                </c:pt>
                <c:pt idx="13">
                  <c:v>Alimentation infaltile </c:v>
                </c:pt>
                <c:pt idx="14">
                  <c:v>Surgelés </c:v>
                </c:pt>
                <c:pt idx="15">
                  <c:v>Chien et chat </c:v>
                </c:pt>
              </c:strCache>
            </c:strRef>
          </c:cat>
          <c:val>
            <c:numRef>
              <c:f>'A-conso'!$BM$82:$BM$97</c:f>
              <c:numCache>
                <c:formatCode>0</c:formatCode>
                <c:ptCount val="16"/>
                <c:pt idx="0">
                  <c:v>756.31990919981536</c:v>
                </c:pt>
                <c:pt idx="1">
                  <c:v>136.28526118356507</c:v>
                </c:pt>
                <c:pt idx="2">
                  <c:v>8343.7803093034036</c:v>
                </c:pt>
                <c:pt idx="3">
                  <c:v>71.549189727853843</c:v>
                </c:pt>
                <c:pt idx="4">
                  <c:v>1028.1168826128594</c:v>
                </c:pt>
                <c:pt idx="5">
                  <c:v>47.995196469444359</c:v>
                </c:pt>
                <c:pt idx="6">
                  <c:v>125.52589845854678</c:v>
                </c:pt>
                <c:pt idx="7">
                  <c:v>700.94083635045649</c:v>
                </c:pt>
                <c:pt idx="8">
                  <c:v>722.56504574877761</c:v>
                </c:pt>
                <c:pt idx="9">
                  <c:v>1440.9107335661754</c:v>
                </c:pt>
                <c:pt idx="10">
                  <c:v>1709.8948016916331</c:v>
                </c:pt>
                <c:pt idx="11">
                  <c:v>4425.5790502759082</c:v>
                </c:pt>
                <c:pt idx="12">
                  <c:v>1453.9204205212629</c:v>
                </c:pt>
                <c:pt idx="13">
                  <c:v>29.430021571373569</c:v>
                </c:pt>
                <c:pt idx="14">
                  <c:v>51.089392285789494</c:v>
                </c:pt>
                <c:pt idx="15">
                  <c:v>225.20822958739276</c:v>
                </c:pt>
              </c:numCache>
            </c:numRef>
          </c:val>
          <c:extLst>
            <c:ext xmlns:c16="http://schemas.microsoft.com/office/drawing/2014/chart" uri="{C3380CC4-5D6E-409C-BE32-E72D297353CC}">
              <c16:uniqueId val="{00000001-E447-49CD-A779-B7331846DF64}"/>
            </c:ext>
          </c:extLst>
        </c:ser>
        <c:ser>
          <c:idx val="2"/>
          <c:order val="2"/>
          <c:tx>
            <c:strRef>
              <c:f>'A-conso'!$BN$81</c:f>
              <c:strCache>
                <c:ptCount val="1"/>
                <c:pt idx="0">
                  <c:v>Manche</c:v>
                </c:pt>
              </c:strCache>
            </c:strRef>
          </c:tx>
          <c:spPr>
            <a:solidFill>
              <a:schemeClr val="accent3"/>
            </a:solidFill>
            <a:ln>
              <a:noFill/>
            </a:ln>
            <a:effectLst/>
          </c:spPr>
          <c:invertIfNegative val="0"/>
          <c:cat>
            <c:strRef>
              <c:f>'A-conso'!$BK$82:$BK$97</c:f>
              <c:strCache>
                <c:ptCount val="16"/>
                <c:pt idx="0">
                  <c:v>Vin</c:v>
                </c:pt>
                <c:pt idx="1">
                  <c:v>Cidre</c:v>
                </c:pt>
                <c:pt idx="2">
                  <c:v>Bière, panaché</c:v>
                </c:pt>
                <c:pt idx="3">
                  <c:v>Miel</c:v>
                </c:pt>
                <c:pt idx="4">
                  <c:v>Eaux</c:v>
                </c:pt>
                <c:pt idx="5">
                  <c:v>Apéritifs et whiskies</c:v>
                </c:pt>
                <c:pt idx="6">
                  <c:v>Champagnes et mousseux</c:v>
                </c:pt>
                <c:pt idx="7">
                  <c:v>Jus et nectars</c:v>
                </c:pt>
                <c:pt idx="8">
                  <c:v>Conserves légumes</c:v>
                </c:pt>
                <c:pt idx="9">
                  <c:v>Boissons sans alcool</c:v>
                </c:pt>
                <c:pt idx="10">
                  <c:v>Lait</c:v>
                </c:pt>
                <c:pt idx="11">
                  <c:v>Yaourt</c:v>
                </c:pt>
                <c:pt idx="12">
                  <c:v>Confitures et fruits au sirop</c:v>
                </c:pt>
                <c:pt idx="13">
                  <c:v>Alimentation infaltile </c:v>
                </c:pt>
                <c:pt idx="14">
                  <c:v>Surgelés </c:v>
                </c:pt>
                <c:pt idx="15">
                  <c:v>Chien et chat </c:v>
                </c:pt>
              </c:strCache>
            </c:strRef>
          </c:cat>
          <c:val>
            <c:numRef>
              <c:f>'A-conso'!$BN$82:$BN$97</c:f>
              <c:numCache>
                <c:formatCode>0</c:formatCode>
                <c:ptCount val="16"/>
                <c:pt idx="0">
                  <c:v>731.63288377867036</c:v>
                </c:pt>
                <c:pt idx="1">
                  <c:v>131.83677626806724</c:v>
                </c:pt>
                <c:pt idx="2">
                  <c:v>8071.4311167214546</c:v>
                </c:pt>
                <c:pt idx="3">
                  <c:v>69.213753830704661</c:v>
                </c:pt>
                <c:pt idx="4">
                  <c:v>994.55813675910395</c:v>
                </c:pt>
                <c:pt idx="5">
                  <c:v>46.428586069636694</c:v>
                </c:pt>
                <c:pt idx="6">
                  <c:v>121.42860972058826</c:v>
                </c:pt>
                <c:pt idx="7">
                  <c:v>678.06143831370491</c:v>
                </c:pt>
                <c:pt idx="8">
                  <c:v>698.97981225716762</c:v>
                </c:pt>
                <c:pt idx="9">
                  <c:v>1393.8779905741474</c:v>
                </c:pt>
                <c:pt idx="10">
                  <c:v>1654.0821542611227</c:v>
                </c:pt>
                <c:pt idx="11">
                  <c:v>4281.123799014521</c:v>
                </c:pt>
                <c:pt idx="12">
                  <c:v>1406.4630285563935</c:v>
                </c:pt>
                <c:pt idx="13">
                  <c:v>28.469396732810189</c:v>
                </c:pt>
                <c:pt idx="14">
                  <c:v>49.42178429244111</c:v>
                </c:pt>
                <c:pt idx="15">
                  <c:v>217.857211557526</c:v>
                </c:pt>
              </c:numCache>
            </c:numRef>
          </c:val>
          <c:extLst>
            <c:ext xmlns:c16="http://schemas.microsoft.com/office/drawing/2014/chart" uri="{C3380CC4-5D6E-409C-BE32-E72D297353CC}">
              <c16:uniqueId val="{00000002-E447-49CD-A779-B7331846DF64}"/>
            </c:ext>
          </c:extLst>
        </c:ser>
        <c:ser>
          <c:idx val="3"/>
          <c:order val="3"/>
          <c:tx>
            <c:strRef>
              <c:f>'A-conso'!$BO$81</c:f>
              <c:strCache>
                <c:ptCount val="1"/>
                <c:pt idx="0">
                  <c:v>Orne</c:v>
                </c:pt>
              </c:strCache>
            </c:strRef>
          </c:tx>
          <c:spPr>
            <a:solidFill>
              <a:schemeClr val="accent4"/>
            </a:solidFill>
            <a:ln>
              <a:noFill/>
            </a:ln>
            <a:effectLst/>
          </c:spPr>
          <c:invertIfNegative val="0"/>
          <c:cat>
            <c:strRef>
              <c:f>'A-conso'!$BK$82:$BK$97</c:f>
              <c:strCache>
                <c:ptCount val="16"/>
                <c:pt idx="0">
                  <c:v>Vin</c:v>
                </c:pt>
                <c:pt idx="1">
                  <c:v>Cidre</c:v>
                </c:pt>
                <c:pt idx="2">
                  <c:v>Bière, panaché</c:v>
                </c:pt>
                <c:pt idx="3">
                  <c:v>Miel</c:v>
                </c:pt>
                <c:pt idx="4">
                  <c:v>Eaux</c:v>
                </c:pt>
                <c:pt idx="5">
                  <c:v>Apéritifs et whiskies</c:v>
                </c:pt>
                <c:pt idx="6">
                  <c:v>Champagnes et mousseux</c:v>
                </c:pt>
                <c:pt idx="7">
                  <c:v>Jus et nectars</c:v>
                </c:pt>
                <c:pt idx="8">
                  <c:v>Conserves légumes</c:v>
                </c:pt>
                <c:pt idx="9">
                  <c:v>Boissons sans alcool</c:v>
                </c:pt>
                <c:pt idx="10">
                  <c:v>Lait</c:v>
                </c:pt>
                <c:pt idx="11">
                  <c:v>Yaourt</c:v>
                </c:pt>
                <c:pt idx="12">
                  <c:v>Confitures et fruits au sirop</c:v>
                </c:pt>
                <c:pt idx="13">
                  <c:v>Alimentation infaltile </c:v>
                </c:pt>
                <c:pt idx="14">
                  <c:v>Surgelés </c:v>
                </c:pt>
                <c:pt idx="15">
                  <c:v>Chien et chat </c:v>
                </c:pt>
              </c:strCache>
            </c:strRef>
          </c:cat>
          <c:val>
            <c:numRef>
              <c:f>'A-conso'!$BO$82:$BO$97</c:f>
              <c:numCache>
                <c:formatCode>0</c:formatCode>
                <c:ptCount val="16"/>
                <c:pt idx="0">
                  <c:v>333.42125737168169</c:v>
                </c:pt>
                <c:pt idx="1">
                  <c:v>60.080929501284899</c:v>
                </c:pt>
                <c:pt idx="2">
                  <c:v>3678.3293525941453</c:v>
                </c:pt>
                <c:pt idx="3">
                  <c:v>31.542235650289374</c:v>
                </c:pt>
                <c:pt idx="4">
                  <c:v>453.2420997465353</c:v>
                </c:pt>
                <c:pt idx="5">
                  <c:v>21.158531674214114</c:v>
                </c:pt>
                <c:pt idx="6">
                  <c:v>55.337698224867673</c:v>
                </c:pt>
                <c:pt idx="7">
                  <c:v>309.00756697835766</c:v>
                </c:pt>
                <c:pt idx="8">
                  <c:v>318.54053179860796</c:v>
                </c:pt>
                <c:pt idx="9">
                  <c:v>635.22097290058173</c:v>
                </c:pt>
                <c:pt idx="10">
                  <c:v>753.80175481101264</c:v>
                </c:pt>
                <c:pt idx="11">
                  <c:v>1951.0026294322042</c:v>
                </c:pt>
                <c:pt idx="12">
                  <c:v>640.95625254853724</c:v>
                </c:pt>
                <c:pt idx="13">
                  <c:v>12.974132609023599</c:v>
                </c:pt>
                <c:pt idx="14">
                  <c:v>22.522598185079197</c:v>
                </c:pt>
                <c:pt idx="15">
                  <c:v>99.282340932850815</c:v>
                </c:pt>
              </c:numCache>
            </c:numRef>
          </c:val>
          <c:extLst>
            <c:ext xmlns:c16="http://schemas.microsoft.com/office/drawing/2014/chart" uri="{C3380CC4-5D6E-409C-BE32-E72D297353CC}">
              <c16:uniqueId val="{00000003-E447-49CD-A779-B7331846DF64}"/>
            </c:ext>
          </c:extLst>
        </c:ser>
        <c:ser>
          <c:idx val="4"/>
          <c:order val="4"/>
          <c:tx>
            <c:strRef>
              <c:f>'A-conso'!$BP$81</c:f>
              <c:strCache>
                <c:ptCount val="1"/>
                <c:pt idx="0">
                  <c:v>Seine-Maritime</c:v>
                </c:pt>
              </c:strCache>
            </c:strRef>
          </c:tx>
          <c:spPr>
            <a:solidFill>
              <a:schemeClr val="accent5"/>
            </a:solidFill>
            <a:ln>
              <a:noFill/>
            </a:ln>
            <a:effectLst/>
          </c:spPr>
          <c:invertIfNegative val="0"/>
          <c:cat>
            <c:strRef>
              <c:f>'A-conso'!$BK$82:$BK$97</c:f>
              <c:strCache>
                <c:ptCount val="16"/>
                <c:pt idx="0">
                  <c:v>Vin</c:v>
                </c:pt>
                <c:pt idx="1">
                  <c:v>Cidre</c:v>
                </c:pt>
                <c:pt idx="2">
                  <c:v>Bière, panaché</c:v>
                </c:pt>
                <c:pt idx="3">
                  <c:v>Miel</c:v>
                </c:pt>
                <c:pt idx="4">
                  <c:v>Eaux</c:v>
                </c:pt>
                <c:pt idx="5">
                  <c:v>Apéritifs et whiskies</c:v>
                </c:pt>
                <c:pt idx="6">
                  <c:v>Champagnes et mousseux</c:v>
                </c:pt>
                <c:pt idx="7">
                  <c:v>Jus et nectars</c:v>
                </c:pt>
                <c:pt idx="8">
                  <c:v>Conserves légumes</c:v>
                </c:pt>
                <c:pt idx="9">
                  <c:v>Boissons sans alcool</c:v>
                </c:pt>
                <c:pt idx="10">
                  <c:v>Lait</c:v>
                </c:pt>
                <c:pt idx="11">
                  <c:v>Yaourt</c:v>
                </c:pt>
                <c:pt idx="12">
                  <c:v>Confitures et fruits au sirop</c:v>
                </c:pt>
                <c:pt idx="13">
                  <c:v>Alimentation infaltile </c:v>
                </c:pt>
                <c:pt idx="14">
                  <c:v>Surgelés </c:v>
                </c:pt>
                <c:pt idx="15">
                  <c:v>Chien et chat </c:v>
                </c:pt>
              </c:strCache>
            </c:strRef>
          </c:cat>
          <c:val>
            <c:numRef>
              <c:f>'A-conso'!$BP$82:$BP$97</c:f>
              <c:numCache>
                <c:formatCode>0</c:formatCode>
                <c:ptCount val="16"/>
                <c:pt idx="0">
                  <c:v>1743.8847904978618</c:v>
                </c:pt>
                <c:pt idx="1">
                  <c:v>314.23976978008886</c:v>
                </c:pt>
                <c:pt idx="2">
                  <c:v>19238.673211768601</c:v>
                </c:pt>
                <c:pt idx="3">
                  <c:v>164.97455933807197</c:v>
                </c:pt>
                <c:pt idx="4">
                  <c:v>2370.5807193936535</c:v>
                </c:pt>
                <c:pt idx="5">
                  <c:v>110.66493440397869</c:v>
                </c:pt>
                <c:pt idx="6">
                  <c:v>289.43136690271342</c:v>
                </c:pt>
                <c:pt idx="7">
                  <c:v>1616.1944815701938</c:v>
                </c:pt>
                <c:pt idx="8">
                  <c:v>1666.0545069609975</c:v>
                </c:pt>
                <c:pt idx="9">
                  <c:v>3322.3802284798867</c:v>
                </c:pt>
                <c:pt idx="10">
                  <c:v>3942.5903004142733</c:v>
                </c:pt>
                <c:pt idx="11">
                  <c:v>10204.279830591044</c:v>
                </c:pt>
                <c:pt idx="12">
                  <c:v>3352.3773169263873</c:v>
                </c:pt>
                <c:pt idx="13">
                  <c:v>67.85827845870341</c:v>
                </c:pt>
                <c:pt idx="14">
                  <c:v>117.79937706152457</c:v>
                </c:pt>
                <c:pt idx="15">
                  <c:v>519.27392297251527</c:v>
                </c:pt>
              </c:numCache>
            </c:numRef>
          </c:val>
          <c:extLst>
            <c:ext xmlns:c16="http://schemas.microsoft.com/office/drawing/2014/chart" uri="{C3380CC4-5D6E-409C-BE32-E72D297353CC}">
              <c16:uniqueId val="{00000004-E447-49CD-A779-B7331846DF64}"/>
            </c:ext>
          </c:extLst>
        </c:ser>
        <c:dLbls>
          <c:showLegendKey val="0"/>
          <c:showVal val="0"/>
          <c:showCatName val="0"/>
          <c:showSerName val="0"/>
          <c:showPercent val="0"/>
          <c:showBubbleSize val="0"/>
        </c:dLbls>
        <c:gapWidth val="150"/>
        <c:overlap val="100"/>
        <c:axId val="1606937903"/>
        <c:axId val="1534763295"/>
      </c:barChart>
      <c:catAx>
        <c:axId val="160693790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534763295"/>
        <c:crosses val="autoZero"/>
        <c:auto val="1"/>
        <c:lblAlgn val="ctr"/>
        <c:lblOffset val="100"/>
        <c:noMultiLvlLbl val="0"/>
      </c:catAx>
      <c:valAx>
        <c:axId val="1534763295"/>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6069379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1" i="0" u="none" strike="noStrike" baseline="0">
                <a:solidFill>
                  <a:sysClr val="windowText" lastClr="000000">
                    <a:lumMod val="75000"/>
                    <a:lumOff val="25000"/>
                  </a:sysClr>
                </a:solidFill>
                <a:latin typeface="Calibri" panose="020F0502020204030204"/>
              </a:rPr>
              <a:t>Répartition de la consommation d'emballages facilement réemployables par départements (%) (Soleviam 2023)</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D8A-409A-B065-23C762BD071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3D8A-409A-B065-23C762BD071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3D8A-409A-B065-23C762BD0711}"/>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3D8A-409A-B065-23C762BD0711}"/>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3D8A-409A-B065-23C762BD0711}"/>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fr-FR"/>
              </a:p>
            </c:txPr>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'A-conso'!$BL$81:$BP$81</c:f>
              <c:strCache>
                <c:ptCount val="5"/>
                <c:pt idx="0">
                  <c:v>Calvados</c:v>
                </c:pt>
                <c:pt idx="1">
                  <c:v>Eure</c:v>
                </c:pt>
                <c:pt idx="2">
                  <c:v>Manche</c:v>
                </c:pt>
                <c:pt idx="3">
                  <c:v>Orne</c:v>
                </c:pt>
                <c:pt idx="4">
                  <c:v>Seine-Maritime</c:v>
                </c:pt>
              </c:strCache>
            </c:strRef>
          </c:cat>
          <c:val>
            <c:numRef>
              <c:f>'A-conso'!$BL$99:$BP$99</c:f>
              <c:numCache>
                <c:formatCode>0.00</c:formatCode>
                <c:ptCount val="5"/>
                <c:pt idx="0">
                  <c:v>22.907488332132615</c:v>
                </c:pt>
                <c:pt idx="1">
                  <c:v>16.354100509223738</c:v>
                </c:pt>
                <c:pt idx="2">
                  <c:v>15.820286589875352</c:v>
                </c:pt>
                <c:pt idx="3">
                  <c:v>7.2096538629232851</c:v>
                </c:pt>
                <c:pt idx="4">
                  <c:v>37.708470705845016</c:v>
                </c:pt>
              </c:numCache>
            </c:numRef>
          </c:val>
          <c:extLst>
            <c:ext xmlns:c16="http://schemas.microsoft.com/office/drawing/2014/chart" uri="{C3380CC4-5D6E-409C-BE32-E72D297353CC}">
              <c16:uniqueId val="{0000000A-3D8A-409A-B065-23C762BD0711}"/>
            </c:ext>
          </c:extLst>
        </c:ser>
        <c:dLbls>
          <c:showLegendKey val="0"/>
          <c:showVal val="0"/>
          <c:showCatName val="0"/>
          <c:showSerName val="0"/>
          <c:showPercent val="0"/>
          <c:showBubbleSize val="0"/>
          <c:showLeaderLines val="0"/>
        </c:dLbls>
        <c:firstSliceAng val="0"/>
        <c:holeSize val="75"/>
      </c:doughnut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'A-analyse-comp'!$AB$9</c:f>
              <c:strCache>
                <c:ptCount val="1"/>
                <c:pt idx="0">
                  <c:v>UVC des ménages Normandie (yc CHR)</c:v>
                </c:pt>
              </c:strCache>
            </c:strRef>
          </c:tx>
          <c:spPr>
            <a:solidFill>
              <a:schemeClr val="accent1"/>
            </a:solidFill>
            <a:ln>
              <a:noFill/>
            </a:ln>
            <a:effectLst/>
          </c:spPr>
          <c:invertIfNegative val="0"/>
          <c:cat>
            <c:strRef>
              <c:f>'A-analyse-comp'!$AA$10:$AA$13</c:f>
              <c:strCache>
                <c:ptCount val="4"/>
                <c:pt idx="0">
                  <c:v>cidre</c:v>
                </c:pt>
                <c:pt idx="1">
                  <c:v>bière</c:v>
                </c:pt>
                <c:pt idx="2">
                  <c:v>Miel</c:v>
                </c:pt>
                <c:pt idx="3">
                  <c:v>yaourt</c:v>
                </c:pt>
              </c:strCache>
            </c:strRef>
          </c:cat>
          <c:val>
            <c:numRef>
              <c:f>'A-analyse-comp'!$AB$10:$AB$13</c:f>
              <c:numCache>
                <c:formatCode>0.00</c:formatCode>
                <c:ptCount val="4"/>
                <c:pt idx="0">
                  <c:v>3.23</c:v>
                </c:pt>
                <c:pt idx="1">
                  <c:v>197.75</c:v>
                </c:pt>
                <c:pt idx="2">
                  <c:v>3.5</c:v>
                </c:pt>
                <c:pt idx="3">
                  <c:v>419.55</c:v>
                </c:pt>
              </c:numCache>
            </c:numRef>
          </c:val>
          <c:extLst>
            <c:ext xmlns:c16="http://schemas.microsoft.com/office/drawing/2014/chart" uri="{C3380CC4-5D6E-409C-BE32-E72D297353CC}">
              <c16:uniqueId val="{00000000-BE59-4D56-830B-A843DD4292D4}"/>
            </c:ext>
          </c:extLst>
        </c:ser>
        <c:ser>
          <c:idx val="1"/>
          <c:order val="1"/>
          <c:tx>
            <c:strRef>
              <c:f>'A-analyse-comp'!$AC$9</c:f>
              <c:strCache>
                <c:ptCount val="1"/>
                <c:pt idx="0">
                  <c:v>UVC des producteurs </c:v>
                </c:pt>
              </c:strCache>
            </c:strRef>
          </c:tx>
          <c:spPr>
            <a:solidFill>
              <a:schemeClr val="accent2"/>
            </a:solidFill>
            <a:ln>
              <a:noFill/>
            </a:ln>
            <a:effectLst/>
          </c:spPr>
          <c:invertIfNegative val="0"/>
          <c:cat>
            <c:strRef>
              <c:f>'A-analyse-comp'!$AA$10:$AA$13</c:f>
              <c:strCache>
                <c:ptCount val="4"/>
                <c:pt idx="0">
                  <c:v>cidre</c:v>
                </c:pt>
                <c:pt idx="1">
                  <c:v>bière</c:v>
                </c:pt>
                <c:pt idx="2">
                  <c:v>Miel</c:v>
                </c:pt>
                <c:pt idx="3">
                  <c:v>yaourt</c:v>
                </c:pt>
              </c:strCache>
            </c:strRef>
          </c:cat>
          <c:val>
            <c:numRef>
              <c:f>'A-analyse-comp'!$AC$10:$AC$13</c:f>
              <c:numCache>
                <c:formatCode>0.00</c:formatCode>
                <c:ptCount val="4"/>
                <c:pt idx="0">
                  <c:v>111.968</c:v>
                </c:pt>
                <c:pt idx="1">
                  <c:v>13.845999999300002</c:v>
                </c:pt>
                <c:pt idx="2">
                  <c:v>1.2686548629219965</c:v>
                </c:pt>
                <c:pt idx="3">
                  <c:v>1272</c:v>
                </c:pt>
              </c:numCache>
            </c:numRef>
          </c:val>
          <c:extLst>
            <c:ext xmlns:c16="http://schemas.microsoft.com/office/drawing/2014/chart" uri="{C3380CC4-5D6E-409C-BE32-E72D297353CC}">
              <c16:uniqueId val="{00000001-BE59-4D56-830B-A843DD4292D4}"/>
            </c:ext>
          </c:extLst>
        </c:ser>
        <c:dLbls>
          <c:showLegendKey val="0"/>
          <c:showVal val="0"/>
          <c:showCatName val="0"/>
          <c:showSerName val="0"/>
          <c:showPercent val="0"/>
          <c:showBubbleSize val="0"/>
        </c:dLbls>
        <c:gapWidth val="219"/>
        <c:overlap val="-27"/>
        <c:axId val="85415760"/>
        <c:axId val="223254480"/>
      </c:barChart>
      <c:catAx>
        <c:axId val="85415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23254480"/>
        <c:crosses val="autoZero"/>
        <c:auto val="1"/>
        <c:lblAlgn val="ctr"/>
        <c:lblOffset val="100"/>
        <c:noMultiLvlLbl val="0"/>
      </c:catAx>
      <c:valAx>
        <c:axId val="22325448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854157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Poids relatif</a:t>
            </a:r>
            <a:r>
              <a:rPr lang="fr-FR" baseline="0"/>
              <a:t> de la consommation d'emballages (en nombre d'UVC) entre producteurs, consommateurs et restauration à emporter  </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7BF-494A-83B4-DB56C87DD04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07BF-494A-83B4-DB56C87DD04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07BF-494A-83B4-DB56C87DD045}"/>
              </c:ext>
            </c:extLst>
          </c:dPt>
          <c:cat>
            <c:strRef>
              <c:f>'A-analyse-comp'!$AI$53:$AI$55</c:f>
              <c:strCache>
                <c:ptCount val="3"/>
                <c:pt idx="0">
                  <c:v>Producteurs </c:v>
                </c:pt>
                <c:pt idx="1">
                  <c:v>Consommation à domicile </c:v>
                </c:pt>
                <c:pt idx="2">
                  <c:v>Restauration à emporter</c:v>
                </c:pt>
              </c:strCache>
            </c:strRef>
          </c:cat>
          <c:val>
            <c:numRef>
              <c:f>'A-analyse-comp'!$AJ$53:$AJ$55</c:f>
              <c:numCache>
                <c:formatCode>0</c:formatCode>
                <c:ptCount val="3"/>
                <c:pt idx="0" formatCode="General">
                  <c:v>3007.9573875248639</c:v>
                </c:pt>
                <c:pt idx="1">
                  <c:v>1469.8688000000002</c:v>
                </c:pt>
                <c:pt idx="2" formatCode="General">
                  <c:v>828.70499999999993</c:v>
                </c:pt>
              </c:numCache>
            </c:numRef>
          </c:val>
          <c:extLst>
            <c:ext xmlns:c16="http://schemas.microsoft.com/office/drawing/2014/chart" uri="{C3380CC4-5D6E-409C-BE32-E72D297353CC}">
              <c16:uniqueId val="{00000006-07BF-494A-83B4-DB56C87DD045}"/>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Figure</a:t>
            </a:r>
            <a:r>
              <a:rPr lang="fr-FR" baseline="0"/>
              <a:t> : Répartition par filière des MUVC fixées en Normandie hors Ind. laitière et restauration </a:t>
            </a:r>
            <a:endParaRPr lang="fr-FR"/>
          </a:p>
        </c:rich>
      </c:tx>
      <c:layout>
        <c:manualLayout>
          <c:xMode val="edge"/>
          <c:yMode val="edge"/>
          <c:x val="0.13672574102772836"/>
          <c:y val="2.108689961141437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clustered"/>
        <c:varyColors val="0"/>
        <c:ser>
          <c:idx val="0"/>
          <c:order val="0"/>
          <c:tx>
            <c:strRef>
              <c:f>'A-analyse-comp'!$BB$65</c:f>
              <c:strCache>
                <c:ptCount val="1"/>
                <c:pt idx="0">
                  <c:v>Total MUVC fixées (MUVC)</c:v>
                </c:pt>
              </c:strCache>
            </c:strRef>
          </c:tx>
          <c:spPr>
            <a:solidFill>
              <a:schemeClr val="accent1"/>
            </a:solidFill>
            <a:ln>
              <a:noFill/>
            </a:ln>
            <a:effectLst/>
          </c:spPr>
          <c:invertIfNegative val="0"/>
          <c:cat>
            <c:strRef>
              <c:f>('A-analyse-comp'!$BA$66,'A-analyse-comp'!$BA$68,'A-analyse-comp'!$BA$70:$BA$72)</c:f>
              <c:strCache>
                <c:ptCount val="5"/>
                <c:pt idx="0">
                  <c:v>MUVC Miel</c:v>
                </c:pt>
                <c:pt idx="1">
                  <c:v>MUVC fermiers</c:v>
                </c:pt>
                <c:pt idx="2">
                  <c:v>MUVC portage domicile</c:v>
                </c:pt>
                <c:pt idx="3">
                  <c:v>MUVC bière</c:v>
                </c:pt>
                <c:pt idx="4">
                  <c:v>MUVC cidricole</c:v>
                </c:pt>
              </c:strCache>
            </c:strRef>
          </c:cat>
          <c:val>
            <c:numRef>
              <c:f>('A-analyse-comp'!$BB$66,'A-analyse-comp'!$BB$68,'A-analyse-comp'!$BB$70:$BB$72)</c:f>
              <c:numCache>
                <c:formatCode>0</c:formatCode>
                <c:ptCount val="5"/>
                <c:pt idx="0">
                  <c:v>1.2686548629219965</c:v>
                </c:pt>
                <c:pt idx="1">
                  <c:v>34.566452796780688</c:v>
                </c:pt>
                <c:pt idx="2" formatCode="General">
                  <c:v>9</c:v>
                </c:pt>
                <c:pt idx="3">
                  <c:v>13.845999999300002</c:v>
                </c:pt>
                <c:pt idx="4">
                  <c:v>3.23</c:v>
                </c:pt>
              </c:numCache>
            </c:numRef>
          </c:val>
          <c:extLst>
            <c:ext xmlns:c16="http://schemas.microsoft.com/office/drawing/2014/chart" uri="{C3380CC4-5D6E-409C-BE32-E72D297353CC}">
              <c16:uniqueId val="{00000000-3E24-43F0-A980-F899DD289973}"/>
            </c:ext>
          </c:extLst>
        </c:ser>
        <c:ser>
          <c:idx val="1"/>
          <c:order val="1"/>
          <c:tx>
            <c:strRef>
              <c:f>'A-analyse-comp'!$BC$65</c:f>
              <c:strCache>
                <c:ptCount val="1"/>
                <c:pt idx="0">
                  <c:v>MUVC fixées facilement réemployables</c:v>
                </c:pt>
              </c:strCache>
            </c:strRef>
          </c:tx>
          <c:spPr>
            <a:solidFill>
              <a:schemeClr val="accent2"/>
            </a:solidFill>
            <a:ln>
              <a:noFill/>
            </a:ln>
            <a:effectLst/>
          </c:spPr>
          <c:invertIfNegative val="0"/>
          <c:cat>
            <c:strRef>
              <c:f>('A-analyse-comp'!$BA$66,'A-analyse-comp'!$BA$68,'A-analyse-comp'!$BA$70:$BA$72)</c:f>
              <c:strCache>
                <c:ptCount val="5"/>
                <c:pt idx="0">
                  <c:v>MUVC Miel</c:v>
                </c:pt>
                <c:pt idx="1">
                  <c:v>MUVC fermiers</c:v>
                </c:pt>
                <c:pt idx="2">
                  <c:v>MUVC portage domicile</c:v>
                </c:pt>
                <c:pt idx="3">
                  <c:v>MUVC bière</c:v>
                </c:pt>
                <c:pt idx="4">
                  <c:v>MUVC cidricole</c:v>
                </c:pt>
              </c:strCache>
            </c:strRef>
          </c:cat>
          <c:val>
            <c:numRef>
              <c:f>('A-analyse-comp'!$BC$66,'A-analyse-comp'!$BC$68,'A-analyse-comp'!$BC$70:$BC$72)</c:f>
              <c:numCache>
                <c:formatCode>0</c:formatCode>
                <c:ptCount val="5"/>
                <c:pt idx="0">
                  <c:v>0.44402920202269874</c:v>
                </c:pt>
                <c:pt idx="1">
                  <c:v>12.098258478873239</c:v>
                </c:pt>
                <c:pt idx="2">
                  <c:v>9</c:v>
                </c:pt>
                <c:pt idx="3">
                  <c:v>11.076799999440002</c:v>
                </c:pt>
                <c:pt idx="4">
                  <c:v>2.5840000000000001</c:v>
                </c:pt>
              </c:numCache>
            </c:numRef>
          </c:val>
          <c:extLst>
            <c:ext xmlns:c16="http://schemas.microsoft.com/office/drawing/2014/chart" uri="{C3380CC4-5D6E-409C-BE32-E72D297353CC}">
              <c16:uniqueId val="{00000001-3E24-43F0-A980-F899DD289973}"/>
            </c:ext>
          </c:extLst>
        </c:ser>
        <c:dLbls>
          <c:showLegendKey val="0"/>
          <c:showVal val="0"/>
          <c:showCatName val="0"/>
          <c:showSerName val="0"/>
          <c:showPercent val="0"/>
          <c:showBubbleSize val="0"/>
        </c:dLbls>
        <c:gapWidth val="182"/>
        <c:axId val="241321295"/>
        <c:axId val="251163695"/>
      </c:barChart>
      <c:catAx>
        <c:axId val="24132129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51163695"/>
        <c:crosses val="autoZero"/>
        <c:auto val="1"/>
        <c:lblAlgn val="ctr"/>
        <c:lblOffset val="100"/>
        <c:noMultiLvlLbl val="0"/>
      </c:catAx>
      <c:valAx>
        <c:axId val="251163695"/>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413212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0" i="0" u="none" strike="noStrike" kern="1200" spc="0" baseline="0">
                <a:solidFill>
                  <a:sysClr val="windowText" lastClr="000000">
                    <a:lumMod val="65000"/>
                    <a:lumOff val="35000"/>
                  </a:sysClr>
                </a:solidFill>
              </a:rPr>
              <a:t>Figure : Répartition par filière des MUVC fixées en Normandie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clustered"/>
        <c:varyColors val="0"/>
        <c:ser>
          <c:idx val="0"/>
          <c:order val="0"/>
          <c:tx>
            <c:strRef>
              <c:f>'A-analyse-comp'!$BB$65</c:f>
              <c:strCache>
                <c:ptCount val="1"/>
                <c:pt idx="0">
                  <c:v>Total MUVC fixées (MUVC)</c:v>
                </c:pt>
              </c:strCache>
            </c:strRef>
          </c:tx>
          <c:spPr>
            <a:solidFill>
              <a:schemeClr val="accent1"/>
            </a:solidFill>
            <a:ln>
              <a:noFill/>
            </a:ln>
            <a:effectLst/>
          </c:spPr>
          <c:invertIfNegative val="0"/>
          <c:cat>
            <c:strRef>
              <c:f>'A-analyse-comp'!$BA$66:$BA$72</c:f>
              <c:strCache>
                <c:ptCount val="7"/>
                <c:pt idx="0">
                  <c:v>MUVC Miel</c:v>
                </c:pt>
                <c:pt idx="1">
                  <c:v>MUVC ind. Lait.  </c:v>
                </c:pt>
                <c:pt idx="2">
                  <c:v>MUVC fermiers</c:v>
                </c:pt>
                <c:pt idx="3">
                  <c:v>MUVC rest. à emporter</c:v>
                </c:pt>
                <c:pt idx="4">
                  <c:v>MUVC portage domicile</c:v>
                </c:pt>
                <c:pt idx="5">
                  <c:v>MUVC bière</c:v>
                </c:pt>
                <c:pt idx="6">
                  <c:v>MUVC cidricole</c:v>
                </c:pt>
              </c:strCache>
            </c:strRef>
          </c:cat>
          <c:val>
            <c:numRef>
              <c:f>'A-analyse-comp'!$BB$66:$BB$72</c:f>
              <c:numCache>
                <c:formatCode>0</c:formatCode>
                <c:ptCount val="7"/>
                <c:pt idx="0">
                  <c:v>1.2686548629219965</c:v>
                </c:pt>
                <c:pt idx="1">
                  <c:v>2828.6666666666661</c:v>
                </c:pt>
                <c:pt idx="2">
                  <c:v>34.566452796780688</c:v>
                </c:pt>
                <c:pt idx="3">
                  <c:v>828.70499999999993</c:v>
                </c:pt>
                <c:pt idx="4" formatCode="General">
                  <c:v>9</c:v>
                </c:pt>
                <c:pt idx="5">
                  <c:v>13.845999999300002</c:v>
                </c:pt>
                <c:pt idx="6">
                  <c:v>3.23</c:v>
                </c:pt>
              </c:numCache>
            </c:numRef>
          </c:val>
          <c:extLst>
            <c:ext xmlns:c16="http://schemas.microsoft.com/office/drawing/2014/chart" uri="{C3380CC4-5D6E-409C-BE32-E72D297353CC}">
              <c16:uniqueId val="{00000000-C521-446B-AE19-7ADCC0461FB3}"/>
            </c:ext>
          </c:extLst>
        </c:ser>
        <c:ser>
          <c:idx val="1"/>
          <c:order val="1"/>
          <c:tx>
            <c:strRef>
              <c:f>'A-analyse-comp'!$BC$65</c:f>
              <c:strCache>
                <c:ptCount val="1"/>
                <c:pt idx="0">
                  <c:v>MUVC fixées facilement réemployables</c:v>
                </c:pt>
              </c:strCache>
            </c:strRef>
          </c:tx>
          <c:spPr>
            <a:solidFill>
              <a:schemeClr val="accent2"/>
            </a:solidFill>
            <a:ln>
              <a:noFill/>
            </a:ln>
            <a:effectLst/>
          </c:spPr>
          <c:invertIfNegative val="0"/>
          <c:cat>
            <c:strRef>
              <c:f>'A-analyse-comp'!$BA$66:$BA$72</c:f>
              <c:strCache>
                <c:ptCount val="7"/>
                <c:pt idx="0">
                  <c:v>MUVC Miel</c:v>
                </c:pt>
                <c:pt idx="1">
                  <c:v>MUVC ind. Lait.  </c:v>
                </c:pt>
                <c:pt idx="2">
                  <c:v>MUVC fermiers</c:v>
                </c:pt>
                <c:pt idx="3">
                  <c:v>MUVC rest. à emporter</c:v>
                </c:pt>
                <c:pt idx="4">
                  <c:v>MUVC portage domicile</c:v>
                </c:pt>
                <c:pt idx="5">
                  <c:v>MUVC bière</c:v>
                </c:pt>
                <c:pt idx="6">
                  <c:v>MUVC cidricole</c:v>
                </c:pt>
              </c:strCache>
            </c:strRef>
          </c:cat>
          <c:val>
            <c:numRef>
              <c:f>'A-analyse-comp'!$BC$66:$BC$72</c:f>
              <c:numCache>
                <c:formatCode>0</c:formatCode>
                <c:ptCount val="7"/>
                <c:pt idx="0">
                  <c:v>0.44402920202269874</c:v>
                </c:pt>
                <c:pt idx="1">
                  <c:v>565.73333333333323</c:v>
                </c:pt>
                <c:pt idx="2">
                  <c:v>12.098258478873239</c:v>
                </c:pt>
                <c:pt idx="3">
                  <c:v>82.870499999999993</c:v>
                </c:pt>
                <c:pt idx="4">
                  <c:v>9</c:v>
                </c:pt>
                <c:pt idx="5">
                  <c:v>11.076799999440002</c:v>
                </c:pt>
                <c:pt idx="6">
                  <c:v>2.5840000000000001</c:v>
                </c:pt>
              </c:numCache>
            </c:numRef>
          </c:val>
          <c:extLst>
            <c:ext xmlns:c16="http://schemas.microsoft.com/office/drawing/2014/chart" uri="{C3380CC4-5D6E-409C-BE32-E72D297353CC}">
              <c16:uniqueId val="{00000001-C521-446B-AE19-7ADCC0461FB3}"/>
            </c:ext>
          </c:extLst>
        </c:ser>
        <c:dLbls>
          <c:showLegendKey val="0"/>
          <c:showVal val="0"/>
          <c:showCatName val="0"/>
          <c:showSerName val="0"/>
          <c:showPercent val="0"/>
          <c:showBubbleSize val="0"/>
        </c:dLbls>
        <c:gapWidth val="182"/>
        <c:axId val="1903235855"/>
        <c:axId val="366992207"/>
      </c:barChart>
      <c:catAx>
        <c:axId val="190323585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66992207"/>
        <c:crosses val="autoZero"/>
        <c:auto val="1"/>
        <c:lblAlgn val="ctr"/>
        <c:lblOffset val="100"/>
        <c:noMultiLvlLbl val="0"/>
      </c:catAx>
      <c:valAx>
        <c:axId val="366992207"/>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9032358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Figure : Répartition des UVC fixées en Normandie facilement réemployables par filière et département</a:t>
            </a:r>
          </a:p>
        </c:rich>
      </c:tx>
      <c:layout>
        <c:manualLayout>
          <c:xMode val="edge"/>
          <c:yMode val="edge"/>
          <c:x val="8.1875109361329856E-2"/>
          <c:y val="3.53962192250402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clustered"/>
        <c:varyColors val="0"/>
        <c:ser>
          <c:idx val="0"/>
          <c:order val="0"/>
          <c:tx>
            <c:strRef>
              <c:f>'A-analyse-comp'!$BS$77</c:f>
              <c:strCache>
                <c:ptCount val="1"/>
                <c:pt idx="0">
                  <c:v>Calvados</c:v>
                </c:pt>
              </c:strCache>
            </c:strRef>
          </c:tx>
          <c:spPr>
            <a:solidFill>
              <a:schemeClr val="accent1"/>
            </a:solidFill>
            <a:ln>
              <a:noFill/>
            </a:ln>
            <a:effectLst/>
          </c:spPr>
          <c:invertIfNegative val="0"/>
          <c:cat>
            <c:strRef>
              <c:f>'A-analyse-comp'!$BT$76:$BZ$76</c:f>
              <c:strCache>
                <c:ptCount val="7"/>
                <c:pt idx="0">
                  <c:v>Miel KUVC fixées facilement réemployables</c:v>
                </c:pt>
                <c:pt idx="1">
                  <c:v>Ind. Lait. KUVC fixées facilement réemployables</c:v>
                </c:pt>
                <c:pt idx="2">
                  <c:v>Fermiers  KUVC fixées facilement réemployables</c:v>
                </c:pt>
                <c:pt idx="3">
                  <c:v>Rest. à emporter  KUVC fixées facilement réemployables</c:v>
                </c:pt>
                <c:pt idx="4">
                  <c:v>Portage domicile  KUVC fixées facilement réemployables</c:v>
                </c:pt>
                <c:pt idx="5">
                  <c:v>Bière  KUVC fixées facilement réemployables</c:v>
                </c:pt>
                <c:pt idx="6">
                  <c:v>Cidricole  KUVC fixées facilement réemployables</c:v>
                </c:pt>
              </c:strCache>
            </c:strRef>
          </c:cat>
          <c:val>
            <c:numRef>
              <c:f>'A-analyse-comp'!$BT$77:$BZ$77</c:f>
              <c:numCache>
                <c:formatCode>0</c:formatCode>
                <c:ptCount val="7"/>
                <c:pt idx="0">
                  <c:v>97.422628702639713</c:v>
                </c:pt>
                <c:pt idx="1">
                  <c:v>51936.872180451122</c:v>
                </c:pt>
                <c:pt idx="2">
                  <c:v>2398.3485839283276</c:v>
                </c:pt>
                <c:pt idx="3">
                  <c:v>17110.298426382717</c:v>
                </c:pt>
                <c:pt idx="4">
                  <c:v>1214.7387793387309</c:v>
                </c:pt>
                <c:pt idx="5">
                  <c:v>1417.566666595</c:v>
                </c:pt>
                <c:pt idx="6">
                  <c:v>746.21370144462287</c:v>
                </c:pt>
              </c:numCache>
            </c:numRef>
          </c:val>
          <c:extLst>
            <c:ext xmlns:c16="http://schemas.microsoft.com/office/drawing/2014/chart" uri="{C3380CC4-5D6E-409C-BE32-E72D297353CC}">
              <c16:uniqueId val="{00000000-9E02-44D5-AE98-C9B69A054533}"/>
            </c:ext>
          </c:extLst>
        </c:ser>
        <c:ser>
          <c:idx val="1"/>
          <c:order val="1"/>
          <c:tx>
            <c:strRef>
              <c:f>'A-analyse-comp'!$BS$78</c:f>
              <c:strCache>
                <c:ptCount val="1"/>
                <c:pt idx="0">
                  <c:v>Eure</c:v>
                </c:pt>
              </c:strCache>
            </c:strRef>
          </c:tx>
          <c:spPr>
            <a:solidFill>
              <a:schemeClr val="accent2"/>
            </a:solidFill>
            <a:ln>
              <a:noFill/>
            </a:ln>
            <a:effectLst/>
          </c:spPr>
          <c:invertIfNegative val="0"/>
          <c:cat>
            <c:strRef>
              <c:f>'A-analyse-comp'!$BT$76:$BZ$76</c:f>
              <c:strCache>
                <c:ptCount val="7"/>
                <c:pt idx="0">
                  <c:v>Miel KUVC fixées facilement réemployables</c:v>
                </c:pt>
                <c:pt idx="1">
                  <c:v>Ind. Lait. KUVC fixées facilement réemployables</c:v>
                </c:pt>
                <c:pt idx="2">
                  <c:v>Fermiers  KUVC fixées facilement réemployables</c:v>
                </c:pt>
                <c:pt idx="3">
                  <c:v>Rest. à emporter  KUVC fixées facilement réemployables</c:v>
                </c:pt>
                <c:pt idx="4">
                  <c:v>Portage domicile  KUVC fixées facilement réemployables</c:v>
                </c:pt>
                <c:pt idx="5">
                  <c:v>Bière  KUVC fixées facilement réemployables</c:v>
                </c:pt>
                <c:pt idx="6">
                  <c:v>Cidricole  KUVC fixées facilement réemployables</c:v>
                </c:pt>
              </c:strCache>
            </c:strRef>
          </c:cat>
          <c:val>
            <c:numRef>
              <c:f>'A-analyse-comp'!$BT$78:$BZ$78</c:f>
              <c:numCache>
                <c:formatCode>0</c:formatCode>
                <c:ptCount val="7"/>
                <c:pt idx="0">
                  <c:v>84.756941905852528</c:v>
                </c:pt>
                <c:pt idx="1">
                  <c:v>9825.8947368421068</c:v>
                </c:pt>
                <c:pt idx="2">
                  <c:v>1697.748716344167</c:v>
                </c:pt>
                <c:pt idx="3">
                  <c:v>11991.200321630997</c:v>
                </c:pt>
                <c:pt idx="4">
                  <c:v>1575.862484953645</c:v>
                </c:pt>
                <c:pt idx="5">
                  <c:v>5274.6666664000013</c:v>
                </c:pt>
                <c:pt idx="6">
                  <c:v>286.83937078651678</c:v>
                </c:pt>
              </c:numCache>
            </c:numRef>
          </c:val>
          <c:extLst>
            <c:ext xmlns:c16="http://schemas.microsoft.com/office/drawing/2014/chart" uri="{C3380CC4-5D6E-409C-BE32-E72D297353CC}">
              <c16:uniqueId val="{00000001-9E02-44D5-AE98-C9B69A054533}"/>
            </c:ext>
          </c:extLst>
        </c:ser>
        <c:ser>
          <c:idx val="2"/>
          <c:order val="2"/>
          <c:tx>
            <c:strRef>
              <c:f>'A-analyse-comp'!$BS$79</c:f>
              <c:strCache>
                <c:ptCount val="1"/>
                <c:pt idx="0">
                  <c:v>Manche</c:v>
                </c:pt>
              </c:strCache>
            </c:strRef>
          </c:tx>
          <c:spPr>
            <a:solidFill>
              <a:schemeClr val="accent3"/>
            </a:solidFill>
            <a:ln>
              <a:noFill/>
            </a:ln>
            <a:effectLst/>
          </c:spPr>
          <c:invertIfNegative val="0"/>
          <c:cat>
            <c:strRef>
              <c:f>'A-analyse-comp'!$BT$76:$BZ$76</c:f>
              <c:strCache>
                <c:ptCount val="7"/>
                <c:pt idx="0">
                  <c:v>Miel KUVC fixées facilement réemployables</c:v>
                </c:pt>
                <c:pt idx="1">
                  <c:v>Ind. Lait. KUVC fixées facilement réemployables</c:v>
                </c:pt>
                <c:pt idx="2">
                  <c:v>Fermiers  KUVC fixées facilement réemployables</c:v>
                </c:pt>
                <c:pt idx="3">
                  <c:v>Rest. à emporter  KUVC fixées facilement réemployables</c:v>
                </c:pt>
                <c:pt idx="4">
                  <c:v>Portage domicile  KUVC fixées facilement réemployables</c:v>
                </c:pt>
                <c:pt idx="5">
                  <c:v>Bière  KUVC fixées facilement réemployables</c:v>
                </c:pt>
                <c:pt idx="6">
                  <c:v>Cidricole  KUVC fixées facilement réemployables</c:v>
                </c:pt>
              </c:strCache>
            </c:strRef>
          </c:cat>
          <c:val>
            <c:numRef>
              <c:f>'A-analyse-comp'!$BT$79:$BZ$79</c:f>
              <c:numCache>
                <c:formatCode>0</c:formatCode>
                <c:ptCount val="7"/>
                <c:pt idx="0">
                  <c:v>79.670060805714257</c:v>
                </c:pt>
                <c:pt idx="1">
                  <c:v>60359.067669172939</c:v>
                </c:pt>
                <c:pt idx="2">
                  <c:v>3968.09816089164</c:v>
                </c:pt>
                <c:pt idx="3">
                  <c:v>10979.183138704278</c:v>
                </c:pt>
                <c:pt idx="4">
                  <c:v>1881.7615169382759</c:v>
                </c:pt>
                <c:pt idx="5">
                  <c:v>1813.1666665750004</c:v>
                </c:pt>
                <c:pt idx="6">
                  <c:v>690.13983948635632</c:v>
                </c:pt>
              </c:numCache>
            </c:numRef>
          </c:val>
          <c:extLst>
            <c:ext xmlns:c16="http://schemas.microsoft.com/office/drawing/2014/chart" uri="{C3380CC4-5D6E-409C-BE32-E72D297353CC}">
              <c16:uniqueId val="{00000002-9E02-44D5-AE98-C9B69A054533}"/>
            </c:ext>
          </c:extLst>
        </c:ser>
        <c:ser>
          <c:idx val="3"/>
          <c:order val="3"/>
          <c:tx>
            <c:strRef>
              <c:f>'A-analyse-comp'!$BS$80</c:f>
              <c:strCache>
                <c:ptCount val="1"/>
                <c:pt idx="0">
                  <c:v>Orne </c:v>
                </c:pt>
              </c:strCache>
            </c:strRef>
          </c:tx>
          <c:spPr>
            <a:solidFill>
              <a:schemeClr val="accent4"/>
            </a:solidFill>
            <a:ln>
              <a:noFill/>
            </a:ln>
            <a:effectLst/>
          </c:spPr>
          <c:invertIfNegative val="0"/>
          <c:cat>
            <c:strRef>
              <c:f>'A-analyse-comp'!$BT$76:$BZ$76</c:f>
              <c:strCache>
                <c:ptCount val="7"/>
                <c:pt idx="0">
                  <c:v>Miel KUVC fixées facilement réemployables</c:v>
                </c:pt>
                <c:pt idx="1">
                  <c:v>Ind. Lait. KUVC fixées facilement réemployables</c:v>
                </c:pt>
                <c:pt idx="2">
                  <c:v>Fermiers  KUVC fixées facilement réemployables</c:v>
                </c:pt>
                <c:pt idx="3">
                  <c:v>Rest. à emporter  KUVC fixées facilement réemployables</c:v>
                </c:pt>
                <c:pt idx="4">
                  <c:v>Portage domicile  KUVC fixées facilement réemployables</c:v>
                </c:pt>
                <c:pt idx="5">
                  <c:v>Bière  KUVC fixées facilement réemployables</c:v>
                </c:pt>
                <c:pt idx="6">
                  <c:v>Cidricole  KUVC fixées facilement réemployables</c:v>
                </c:pt>
              </c:strCache>
            </c:strRef>
          </c:cat>
          <c:val>
            <c:numRef>
              <c:f>'A-analyse-comp'!$BT$80:$BZ$80</c:f>
              <c:numCache>
                <c:formatCode>0</c:formatCode>
                <c:ptCount val="7"/>
                <c:pt idx="0">
                  <c:v>97.422628702639713</c:v>
                </c:pt>
                <c:pt idx="1">
                  <c:v>36496.180451127817</c:v>
                </c:pt>
                <c:pt idx="2">
                  <c:v>1700.0294800701226</c:v>
                </c:pt>
                <c:pt idx="3">
                  <c:v>4046.4875588187265</c:v>
                </c:pt>
                <c:pt idx="4">
                  <c:v>1095.4058729277217</c:v>
                </c:pt>
                <c:pt idx="5">
                  <c:v>560.43333330499991</c:v>
                </c:pt>
                <c:pt idx="6">
                  <c:v>785.03406741573031</c:v>
                </c:pt>
              </c:numCache>
            </c:numRef>
          </c:val>
          <c:extLst>
            <c:ext xmlns:c16="http://schemas.microsoft.com/office/drawing/2014/chart" uri="{C3380CC4-5D6E-409C-BE32-E72D297353CC}">
              <c16:uniqueId val="{00000003-9E02-44D5-AE98-C9B69A054533}"/>
            </c:ext>
          </c:extLst>
        </c:ser>
        <c:ser>
          <c:idx val="4"/>
          <c:order val="4"/>
          <c:tx>
            <c:strRef>
              <c:f>'A-analyse-comp'!$BS$81</c:f>
              <c:strCache>
                <c:ptCount val="1"/>
                <c:pt idx="0">
                  <c:v>Seine-M</c:v>
                </c:pt>
              </c:strCache>
            </c:strRef>
          </c:tx>
          <c:spPr>
            <a:solidFill>
              <a:schemeClr val="accent5"/>
            </a:solidFill>
            <a:ln>
              <a:noFill/>
            </a:ln>
            <a:effectLst/>
          </c:spPr>
          <c:invertIfNegative val="0"/>
          <c:cat>
            <c:strRef>
              <c:f>'A-analyse-comp'!$BT$76:$BZ$76</c:f>
              <c:strCache>
                <c:ptCount val="7"/>
                <c:pt idx="0">
                  <c:v>Miel KUVC fixées facilement réemployables</c:v>
                </c:pt>
                <c:pt idx="1">
                  <c:v>Ind. Lait. KUVC fixées facilement réemployables</c:v>
                </c:pt>
                <c:pt idx="2">
                  <c:v>Fermiers  KUVC fixées facilement réemployables</c:v>
                </c:pt>
                <c:pt idx="3">
                  <c:v>Rest. à emporter  KUVC fixées facilement réemployables</c:v>
                </c:pt>
                <c:pt idx="4">
                  <c:v>Portage domicile  KUVC fixées facilement réemployables</c:v>
                </c:pt>
                <c:pt idx="5">
                  <c:v>Bière  KUVC fixées facilement réemployables</c:v>
                </c:pt>
                <c:pt idx="6">
                  <c:v>Cidricole  KUVC fixées facilement réemployables</c:v>
                </c:pt>
              </c:strCache>
            </c:strRef>
          </c:cat>
          <c:val>
            <c:numRef>
              <c:f>'A-analyse-comp'!$BT$81:$BZ$81</c:f>
              <c:numCache>
                <c:formatCode>0</c:formatCode>
                <c:ptCount val="7"/>
                <c:pt idx="0">
                  <c:v>84.756941905852528</c:v>
                </c:pt>
                <c:pt idx="1">
                  <c:v>28073.984962406015</c:v>
                </c:pt>
                <c:pt idx="2">
                  <c:v>2334.0335376389817</c:v>
                </c:pt>
                <c:pt idx="3">
                  <c:v>38743.330554463275</c:v>
                </c:pt>
                <c:pt idx="4">
                  <c:v>3232.2313458416256</c:v>
                </c:pt>
                <c:pt idx="5">
                  <c:v>2010.966666565</c:v>
                </c:pt>
                <c:pt idx="6">
                  <c:v>179.00502086677366</c:v>
                </c:pt>
              </c:numCache>
            </c:numRef>
          </c:val>
          <c:extLst>
            <c:ext xmlns:c16="http://schemas.microsoft.com/office/drawing/2014/chart" uri="{C3380CC4-5D6E-409C-BE32-E72D297353CC}">
              <c16:uniqueId val="{00000004-9E02-44D5-AE98-C9B69A054533}"/>
            </c:ext>
          </c:extLst>
        </c:ser>
        <c:dLbls>
          <c:showLegendKey val="0"/>
          <c:showVal val="0"/>
          <c:showCatName val="0"/>
          <c:showSerName val="0"/>
          <c:showPercent val="0"/>
          <c:showBubbleSize val="0"/>
        </c:dLbls>
        <c:gapWidth val="182"/>
        <c:axId val="241332335"/>
        <c:axId val="366998655"/>
      </c:barChart>
      <c:catAx>
        <c:axId val="24133233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66998655"/>
        <c:crosses val="autoZero"/>
        <c:auto val="1"/>
        <c:lblAlgn val="ctr"/>
        <c:lblOffset val="100"/>
        <c:noMultiLvlLbl val="0"/>
      </c:catAx>
      <c:valAx>
        <c:axId val="366998655"/>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4133233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 dir="row">_xlchart.v1.0</cx:f>
      </cx:strDim>
      <cx:numDim type="size">
        <cx:f dir="row">_xlchart.v1.1</cx:f>
      </cx:numDim>
    </cx:data>
  </cx:chartData>
  <cx:chart>
    <cx:title pos="t" align="ctr" overlay="0">
      <cx:tx>
        <cx:txData>
          <cx:v>Répartition de la consommation d'emballages par départements (%) (Soleviam 2023)</cx:v>
        </cx:txData>
      </cx:tx>
      <cx:txPr>
        <a:bodyPr spcFirstLastPara="1" vertOverflow="ellipsis" horzOverflow="overflow" wrap="square" lIns="0" tIns="0" rIns="0" bIns="0" anchor="ctr" anchorCtr="1"/>
        <a:lstStyle/>
        <a:p>
          <a:pPr algn="ctr" rtl="0">
            <a:defRPr/>
          </a:pPr>
          <a:r>
            <a:rPr lang="fr-FR" sz="1800" b="1" i="0" u="none" strike="noStrike" baseline="0">
              <a:solidFill>
                <a:sysClr val="windowText" lastClr="000000">
                  <a:lumMod val="75000"/>
                  <a:lumOff val="25000"/>
                </a:sysClr>
              </a:solidFill>
              <a:latin typeface="Calibri" panose="020F0502020204030204"/>
            </a:rPr>
            <a:t>Répartition de la consommation d'emballages par départements (%) (Soleviam 2023)</a:t>
          </a:r>
        </a:p>
      </cx:txPr>
    </cx:title>
    <cx:plotArea>
      <cx:plotAreaRegion>
        <cx:series layoutId="sunburst" uniqueId="{A89B0547-F512-486B-AB1B-7D5A54D65CF0}">
          <cx:dataLabels pos="ctr">
            <cx:visibility seriesName="0" categoryName="1" value="1"/>
            <cx:separator>, </cx:separator>
          </cx:dataLabels>
          <cx:dataId val="0"/>
        </cx:series>
      </cx:plotAreaRegion>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 dir="row">_xlchart.v1.2</cx:f>
      </cx:strDim>
      <cx:numDim type="size">
        <cx:f dir="row">_xlchart.v1.3</cx:f>
      </cx:numDim>
    </cx:data>
  </cx:chartData>
  <cx:chart>
    <cx:title pos="t" align="ctr" overlay="0">
      <cx:tx>
        <cx:txData>
          <cx:v>Répartition des UVC par filière (hors ind. lait et restauration à emporter)</cx:v>
        </cx:txData>
      </cx:tx>
      <cx:txPr>
        <a:bodyPr spcFirstLastPara="1" vertOverflow="ellipsis" horzOverflow="overflow" wrap="square" lIns="0" tIns="0" rIns="0" bIns="0" anchor="ctr" anchorCtr="1"/>
        <a:lstStyle/>
        <a:p>
          <a:pPr algn="ctr" rtl="0">
            <a:defRPr/>
          </a:pPr>
          <a:r>
            <a:rPr lang="fr-FR" sz="1800" b="1" i="0" u="none" strike="noStrike" baseline="0">
              <a:solidFill>
                <a:sysClr val="windowText" lastClr="000000">
                  <a:lumMod val="75000"/>
                  <a:lumOff val="25000"/>
                </a:sysClr>
              </a:solidFill>
              <a:latin typeface="Calibri" panose="020F0502020204030204"/>
            </a:rPr>
            <a:t>Répartition des UVC par filière (hors ind. lait et restauration à emporter)</a:t>
          </a:r>
        </a:p>
      </cx:txPr>
    </cx:title>
    <cx:plotArea>
      <cx:plotAreaRegion>
        <cx:series layoutId="treemap" uniqueId="{71AEE333-76D1-4807-945C-ED71423BF346}">
          <cx:dataLabels pos="ctr">
            <cx:visibility seriesName="0" categoryName="1" value="0"/>
          </cx:dataLabels>
          <cx:dataId val="0"/>
          <cx:layoutPr>
            <cx:parentLabelLayout val="overlapping"/>
          </cx:layoutPr>
        </cx:series>
      </cx:plotAreaRegion>
    </cx:plotArea>
    <cx:legend pos="r" align="ctr" overlay="0"/>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 dir="row">_xlchart.v1.4</cx:f>
      </cx:strDim>
      <cx:numDim type="size">
        <cx:f dir="row">_xlchart.v1.5</cx:f>
      </cx:numDim>
    </cx:data>
  </cx:chartData>
  <cx:chart>
    <cx:title pos="t" align="ctr" overlay="0">
      <cx:tx>
        <cx:rich>
          <a:bodyPr spcFirstLastPara="1" vertOverflow="ellipsis" horzOverflow="overflow" wrap="square" lIns="0" tIns="0" rIns="0" bIns="0" anchor="ctr" anchorCtr="1"/>
          <a:lstStyle/>
          <a:p>
            <a:pPr algn="ctr" rtl="0">
              <a:defRPr/>
            </a:pPr>
            <a:r>
              <a:rPr lang="fr-FR" sz="1800" b="1" i="0" u="none" strike="noStrike" baseline="0">
                <a:solidFill>
                  <a:sysClr val="windowText" lastClr="000000">
                    <a:lumMod val="75000"/>
                    <a:lumOff val="25000"/>
                  </a:sysClr>
                </a:solidFill>
                <a:effectLst/>
                <a:latin typeface="Calibri" panose="020F0502020204030204"/>
                <a:ea typeface="Calibri" panose="020F0502020204030204" pitchFamily="34" charset="0"/>
                <a:cs typeface="Calibri" panose="020F0502020204030204" pitchFamily="34" charset="0"/>
              </a:rPr>
              <a:t>Répartition des UVC (toutes filières étudiées) </a:t>
            </a:r>
            <a:endParaRPr lang="fr-FR" sz="1800" b="1" i="0" u="none" strike="noStrike" baseline="0">
              <a:solidFill>
                <a:sysClr val="windowText" lastClr="000000">
                  <a:lumMod val="75000"/>
                  <a:lumOff val="25000"/>
                </a:sysClr>
              </a:solidFill>
              <a:latin typeface="Calibri" panose="020F0502020204030204"/>
            </a:endParaRPr>
          </a:p>
        </cx:rich>
      </cx:tx>
    </cx:title>
    <cx:plotArea>
      <cx:plotAreaRegion>
        <cx:series layoutId="treemap" uniqueId="{1049C70D-F1DE-48C4-8BEE-40834E993F85}">
          <cx:dataLabels pos="ctr">
            <cx:txPr>
              <a:bodyPr spcFirstLastPara="1" vertOverflow="ellipsis" horzOverflow="overflow" wrap="square" lIns="0" tIns="0" rIns="0" bIns="0" anchor="ctr" anchorCtr="1"/>
              <a:lstStyle/>
              <a:p>
                <a:pPr algn="ctr" rtl="0">
                  <a:defRPr/>
                </a:pPr>
                <a:endParaRPr lang="fr-FR" sz="900" b="0" i="0" u="none" strike="noStrike" baseline="0">
                  <a:solidFill>
                    <a:sysClr val="window" lastClr="FFFFFF"/>
                  </a:solidFill>
                  <a:latin typeface="Calibri" panose="020F0502020204030204"/>
                </a:endParaRPr>
              </a:p>
            </cx:txPr>
            <cx:visibility seriesName="0" categoryName="1" value="0"/>
            <cx:dataLabelHidden idx="2"/>
            <cx:dataLabelHidden idx="17"/>
          </cx:dataLabels>
          <cx:dataId val="0"/>
          <cx:layoutPr>
            <cx:parentLabelLayout val="overlapping"/>
          </cx:layoutPr>
        </cx:series>
      </cx:plotAreaRegion>
    </cx:plotArea>
    <cx:legend pos="r" align="ctr" overlay="0">
      <cx:txPr>
        <a:bodyPr spcFirstLastPara="1" vertOverflow="ellipsis" horzOverflow="overflow" wrap="square" lIns="0" tIns="0" rIns="0" bIns="0" anchor="ctr" anchorCtr="1"/>
        <a:lstStyle/>
        <a:p>
          <a:pPr algn="ctr" rtl="0">
            <a:defRPr/>
          </a:pPr>
          <a:endParaRPr lang="fr-FR" sz="900" b="0" i="0" u="none" strike="noStrike" baseline="0">
            <a:solidFill>
              <a:sysClr val="windowText" lastClr="000000">
                <a:lumMod val="75000"/>
                <a:lumOff val="25000"/>
              </a:sysClr>
            </a:solidFill>
            <a:latin typeface="Calibri" panose="020F0502020204030204"/>
          </a:endParaRPr>
        </a:p>
      </cx:txPr>
    </cx:legend>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_xlchart.v1.8</cx:f>
      </cx:strDim>
      <cx:numDim type="size">
        <cx:f>_xlchart.v1.9</cx:f>
      </cx:numDim>
    </cx:data>
  </cx:chartData>
  <cx:chart>
    <cx:title pos="t" align="ctr" overlay="0">
      <cx:tx>
        <cx:txData>
          <cx:v>Répartition de la demande des filières en UVC (hors ind. lait et restauration à emporter) </cx:v>
        </cx:txData>
      </cx:tx>
      <cx:txPr>
        <a:bodyPr spcFirstLastPara="1" vertOverflow="ellipsis" horzOverflow="overflow" wrap="square" lIns="0" tIns="0" rIns="0" bIns="0" anchor="ctr" anchorCtr="1"/>
        <a:lstStyle/>
        <a:p>
          <a:pPr algn="ctr" rtl="0">
            <a:defRPr/>
          </a:pPr>
          <a:r>
            <a:rPr lang="fr-FR" sz="1400" b="0" i="0" u="none" strike="noStrike" baseline="0">
              <a:solidFill>
                <a:sysClr val="windowText" lastClr="000000">
                  <a:lumMod val="65000"/>
                  <a:lumOff val="35000"/>
                </a:sysClr>
              </a:solidFill>
              <a:latin typeface="Calibri" panose="020F0502020204030204"/>
            </a:rPr>
            <a:t>Répartition de la demande des filières en UVC (hors ind. lait et restauration à emporter) </a:t>
          </a:r>
        </a:p>
      </cx:txPr>
    </cx:title>
    <cx:plotArea>
      <cx:plotAreaRegion>
        <cx:series layoutId="treemap" uniqueId="{9FCBB77C-EEE1-426B-83D0-54112E400054}">
          <cx:dataLabels pos="inEnd">
            <cx:visibility seriesName="0" categoryName="1" value="0"/>
          </cx:dataLabels>
          <cx:dataId val="0"/>
          <cx:layoutPr>
            <cx:parentLabelLayout val="overlapping"/>
          </cx:layoutPr>
        </cx:series>
      </cx:plotAreaRegion>
    </cx:plotArea>
    <cx:legend pos="t" align="ctr" overlay="0"/>
  </cx:chart>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strDim type="cat">
        <cx:f>_xlchart.v1.7</cx:f>
      </cx:strDim>
      <cx:numDim type="size">
        <cx:f>_xlchart.v1.6</cx:f>
      </cx:numDim>
    </cx:data>
  </cx:chartData>
  <cx:chart>
    <cx:title pos="t" align="ctr" overlay="0">
      <cx:tx>
        <cx:txData>
          <cx:v>Répartition de la demande par département (toutes filères)</cx:v>
        </cx:txData>
      </cx:tx>
      <cx:txPr>
        <a:bodyPr spcFirstLastPara="1" vertOverflow="ellipsis" horzOverflow="overflow" wrap="square" lIns="0" tIns="0" rIns="0" bIns="0" anchor="ctr" anchorCtr="1"/>
        <a:lstStyle/>
        <a:p>
          <a:pPr algn="ctr" rtl="0">
            <a:defRPr/>
          </a:pPr>
          <a:r>
            <a:rPr lang="fr-FR" sz="1400" b="0" i="0" u="none" strike="noStrike" baseline="0">
              <a:solidFill>
                <a:sysClr val="windowText" lastClr="000000">
                  <a:lumMod val="65000"/>
                  <a:lumOff val="35000"/>
                </a:sysClr>
              </a:solidFill>
              <a:latin typeface="Calibri" panose="020F0502020204030204"/>
            </a:rPr>
            <a:t>Répartition de la demande par département (toutes filères)</a:t>
          </a:r>
        </a:p>
      </cx:txPr>
    </cx:title>
    <cx:plotArea>
      <cx:plotAreaRegion>
        <cx:series layoutId="treemap" uniqueId="{7D636563-E6D8-453C-8A63-7AA55A4F0328}">
          <cx:dataLabels pos="inEnd">
            <cx:visibility seriesName="0" categoryName="1" value="0"/>
          </cx:dataLabels>
          <cx:dataId val="0"/>
          <cx:layoutPr>
            <cx:parentLabelLayout val="overlapping"/>
          </cx:layoutPr>
        </cx:series>
      </cx:plotAreaRegion>
    </cx:plotArea>
    <cx:legend pos="t" align="ctr" overlay="0"/>
  </cx:chart>
</cx:chartSpace>
</file>

<file path=xl/charts/chartEx6.xml><?xml version="1.0" encoding="utf-8"?>
<cx:chartSpace xmlns:a="http://schemas.openxmlformats.org/drawingml/2006/main" xmlns:r="http://schemas.openxmlformats.org/officeDocument/2006/relationships" xmlns:cx="http://schemas.microsoft.com/office/drawing/2014/chartex">
  <cx:chartData>
    <cx:data id="0">
      <cx:strDim type="cat">
        <cx:f>_xlchart.v1.10</cx:f>
      </cx:strDim>
      <cx:numDim type="size">
        <cx:f>_xlchart.v1.11</cx:f>
      </cx:numDim>
    </cx:data>
  </cx:chartData>
  <cx:chart>
    <cx:title pos="t" align="ctr" overlay="0">
      <cx:tx>
        <cx:txData>
          <cx:v>Poids de la demande en emballages facilement réemployable par département</cx:v>
        </cx:txData>
      </cx:tx>
      <cx:txPr>
        <a:bodyPr spcFirstLastPara="1" vertOverflow="ellipsis" horzOverflow="overflow" wrap="square" lIns="0" tIns="0" rIns="0" bIns="0" anchor="ctr" anchorCtr="1"/>
        <a:lstStyle/>
        <a:p>
          <a:pPr algn="ctr" rtl="0">
            <a:defRPr/>
          </a:pPr>
          <a:r>
            <a:rPr lang="fr-FR" sz="1400" b="0" i="0" u="none" strike="noStrike" baseline="0">
              <a:solidFill>
                <a:sysClr val="windowText" lastClr="000000">
                  <a:lumMod val="65000"/>
                  <a:lumOff val="35000"/>
                </a:sysClr>
              </a:solidFill>
              <a:latin typeface="Calibri" panose="020F0502020204030204"/>
            </a:rPr>
            <a:t>Poids de la demande en emballages facilement réemployable par département</a:t>
          </a:r>
        </a:p>
      </cx:txPr>
    </cx:title>
    <cx:plotArea>
      <cx:plotAreaRegion>
        <cx:series layoutId="treemap" uniqueId="{EF0504E7-AFDC-4269-BEBC-6C1C604EF9F6}">
          <cx:dataLabels pos="inEnd">
            <cx:visibility seriesName="0" categoryName="1" value="0"/>
          </cx:dataLabels>
          <cx:dataId val="0"/>
          <cx:layoutPr>
            <cx:parentLabelLayout val="overlapping"/>
          </cx:layoutPr>
        </cx:series>
      </cx:plotAreaRegion>
    </cx:plotArea>
    <cx:legend pos="t" align="ctr" overlay="0"/>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411">
  <cs:axisTitle>
    <cs:lnRef idx="0"/>
    <cs:fillRef idx="0"/>
    <cs:effectRef idx="0"/>
    <cs:fontRef idx="minor">
      <a:schemeClr val="dk1">
        <a:lumMod val="75000"/>
        <a:lumOff val="25000"/>
      </a:schemeClr>
    </cs:fontRef>
    <cs:spPr>
      <a:solidFill>
        <a:schemeClr val="bg1">
          <a:lumMod val="65000"/>
        </a:schemeClr>
      </a:solidFill>
      <a:ln>
        <a:solidFill>
          <a:schemeClr val="bg1"/>
        </a:solidFill>
      </a:ln>
    </cs:spPr>
    <cs:defRPr sz="9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cs:chartArea>
  <cs:dataLabel>
    <cs:lnRef idx="0"/>
    <cs:fillRef idx="0"/>
    <cs:effectRef idx="0"/>
    <cs:fontRef idx="minor">
      <a:schemeClr val="lt1"/>
    </cs:fontRef>
    <cs:defRPr sz="900"/>
  </cs:dataLabel>
  <cs:dataLabelCallout>
    <cs:lnRef idx="0"/>
    <cs:fillRef idx="0"/>
    <cs:effectRef idx="0"/>
    <cs:fontRef idx="minor">
      <a:schemeClr val="lt1"/>
    </cs:fontRef>
    <cs:spPr>
      <a:solidFill>
        <a:schemeClr val="dk1">
          <a:lumMod val="65000"/>
          <a:lumOff val="35000"/>
          <a:alpha val="75000"/>
        </a:schemeClr>
      </a:solidFill>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ln>
        <a:solidFill>
          <a:schemeClr val="lt1"/>
        </a:solidFill>
      </a:ln>
    </cs:spPr>
  </cs:dataPoint>
  <cs:dataPoint3D>
    <cs:lnRef idx="0"/>
    <cs:fillRef idx="0">
      <cs:styleClr val="auto"/>
    </cs:fillRef>
    <cs:effectRef idx="0"/>
    <cs:fontRef idx="minor">
      <a:schemeClr val="dk1"/>
    </cs:fontRef>
    <cs:spPr>
      <a:solidFill>
        <a:schemeClr val="ph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2857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75000"/>
            <a:lumOff val="25000"/>
          </a:schemeClr>
        </a:solidFill>
      </a:ln>
    </cs:spPr>
    <cs:defRPr sz="9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lumOff val="10000"/>
              </a:schemeClr>
            </a:gs>
            <a:gs pos="0">
              <a:schemeClr val="lt1">
                <a:lumMod val="75000"/>
                <a:alpha val="36000"/>
                <a:lumOff val="10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cs:seriesAxis>
  <cs:seriesLine>
    <cs:lnRef idx="0"/>
    <cs:fillRef idx="0"/>
    <cs:effectRef idx="0"/>
    <cs:fontRef idx="minor">
      <a:schemeClr val="dk1"/>
    </cs:fontRef>
    <cs:spPr>
      <a:ln w="9525" cap="flat">
        <a:solidFill>
          <a:schemeClr val="bg1">
            <a:lumMod val="50000"/>
          </a:schemeClr>
        </a:solidFill>
        <a:round/>
      </a:ln>
    </cs:spPr>
  </cs:seriesLine>
  <cs:title>
    <cs:lnRef idx="0"/>
    <cs:fillRef idx="0"/>
    <cs:effectRef idx="0"/>
    <cs:fontRef idx="minor">
      <a:schemeClr val="dk1">
        <a:lumMod val="75000"/>
        <a:lumOff val="25000"/>
      </a:schemeClr>
    </cs:fontRef>
    <cs:defRPr sz="1800" b="1"/>
  </cs:title>
  <cs:trendline>
    <cs:lnRef idx="0"/>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75000"/>
        <a:lumOff val="25000"/>
      </a:schemeClr>
    </cs:fontRef>
    <cs:defRPr sz="9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defRPr sz="9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411">
  <cs:axisTitle>
    <cs:lnRef idx="0"/>
    <cs:fillRef idx="0"/>
    <cs:effectRef idx="0"/>
    <cs:fontRef idx="minor">
      <a:schemeClr val="dk1">
        <a:lumMod val="75000"/>
        <a:lumOff val="25000"/>
      </a:schemeClr>
    </cs:fontRef>
    <cs:spPr>
      <a:solidFill>
        <a:schemeClr val="bg1">
          <a:lumMod val="65000"/>
        </a:schemeClr>
      </a:solidFill>
      <a:ln>
        <a:solidFill>
          <a:schemeClr val="bg1"/>
        </a:solidFill>
      </a:ln>
    </cs:spPr>
    <cs:defRPr sz="9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cs:chartArea>
  <cs:dataLabel>
    <cs:lnRef idx="0"/>
    <cs:fillRef idx="0"/>
    <cs:effectRef idx="0"/>
    <cs:fontRef idx="minor">
      <a:schemeClr val="lt1"/>
    </cs:fontRef>
    <cs:defRPr sz="900"/>
  </cs:dataLabel>
  <cs:dataLabelCallout>
    <cs:lnRef idx="0"/>
    <cs:fillRef idx="0"/>
    <cs:effectRef idx="0"/>
    <cs:fontRef idx="minor">
      <a:schemeClr val="lt1"/>
    </cs:fontRef>
    <cs:spPr>
      <a:solidFill>
        <a:schemeClr val="dk1">
          <a:lumMod val="65000"/>
          <a:lumOff val="35000"/>
          <a:alpha val="75000"/>
        </a:schemeClr>
      </a:solidFill>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ln>
        <a:solidFill>
          <a:schemeClr val="lt1"/>
        </a:solidFill>
      </a:ln>
    </cs:spPr>
  </cs:dataPoint>
  <cs:dataPoint3D>
    <cs:lnRef idx="0"/>
    <cs:fillRef idx="0">
      <cs:styleClr val="auto"/>
    </cs:fillRef>
    <cs:effectRef idx="0"/>
    <cs:fontRef idx="minor">
      <a:schemeClr val="dk1"/>
    </cs:fontRef>
    <cs:spPr>
      <a:solidFill>
        <a:schemeClr val="ph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2857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75000"/>
            <a:lumOff val="25000"/>
          </a:schemeClr>
        </a:solidFill>
      </a:ln>
    </cs:spPr>
    <cs:defRPr sz="9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lumOff val="10000"/>
              </a:schemeClr>
            </a:gs>
            <a:gs pos="0">
              <a:schemeClr val="lt1">
                <a:lumMod val="75000"/>
                <a:alpha val="36000"/>
                <a:lumOff val="10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cs:seriesAxis>
  <cs:seriesLine>
    <cs:lnRef idx="0"/>
    <cs:fillRef idx="0"/>
    <cs:effectRef idx="0"/>
    <cs:fontRef idx="minor">
      <a:schemeClr val="dk1"/>
    </cs:fontRef>
    <cs:spPr>
      <a:ln w="9525" cap="flat">
        <a:solidFill>
          <a:schemeClr val="bg1">
            <a:lumMod val="50000"/>
          </a:schemeClr>
        </a:solidFill>
        <a:round/>
      </a:ln>
    </cs:spPr>
  </cs:seriesLine>
  <cs:title>
    <cs:lnRef idx="0"/>
    <cs:fillRef idx="0"/>
    <cs:effectRef idx="0"/>
    <cs:fontRef idx="minor">
      <a:schemeClr val="dk1">
        <a:lumMod val="75000"/>
        <a:lumOff val="25000"/>
      </a:schemeClr>
    </cs:fontRef>
    <cs:defRPr sz="1800" b="1"/>
  </cs:title>
  <cs:trendline>
    <cs:lnRef idx="0"/>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75000"/>
        <a:lumOff val="25000"/>
      </a:schemeClr>
    </cs:fontRef>
    <cs:defRPr sz="9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defRPr sz="900"/>
  </cs:valueAxis>
  <cs:wall>
    <cs:lnRef idx="0"/>
    <cs:fillRef idx="0"/>
    <cs:effectRef idx="0"/>
    <cs:fontRef idx="minor">
      <a:schemeClr val="dk1"/>
    </cs:fontRef>
  </cs:wall>
</cs:chartStyle>
</file>

<file path=xl/charts/style17.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8.xml><?xml version="1.0" encoding="utf-8"?>
<cs:chartStyle xmlns:cs="http://schemas.microsoft.com/office/drawing/2012/chartStyle" xmlns:a="http://schemas.openxmlformats.org/drawingml/2006/main" id="417">
  <cs:axisTitle>
    <cs:lnRef idx="0"/>
    <cs:fillRef idx="0"/>
    <cs:effectRef idx="0"/>
    <cs:fontRef idx="minor">
      <a:schemeClr val="dk1">
        <a:lumMod val="65000"/>
        <a:lumOff val="35000"/>
      </a:schemeClr>
    </cs:fontRef>
    <cs:spPr>
      <a:solidFill>
        <a:schemeClr val="bg1">
          <a:lumMod val="65000"/>
        </a:schemeClr>
      </a:solidFill>
      <a:ln>
        <a:solidFill>
          <a:schemeClr val="bg1"/>
        </a:solidFill>
      </a:ln>
    </cs:spPr>
    <cs:defRPr sz="900"/>
  </cs:axisTitle>
  <cs:categoryAxis>
    <cs:lnRef idx="0"/>
    <cs:fillRef idx="0"/>
    <cs:effectRef idx="0"/>
    <cs:fontRef idx="minor">
      <a:schemeClr val="dk1">
        <a:lumMod val="65000"/>
        <a:lumOff val="35000"/>
      </a:schemeClr>
    </cs:fontRef>
    <cs:defRPr sz="9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cs:chartArea>
  <cs:dataLabel>
    <cs:lnRef idx="0"/>
    <cs:fillRef idx="0"/>
    <cs:effectRef idx="0"/>
    <cs:fontRef idx="minor">
      <a:schemeClr val="lt1"/>
    </cs:fontRef>
    <cs:defRPr sz="900" b="1"/>
    <cs:bodyPr lIns="38100" tIns="19050" rIns="38100" bIns="19050">
      <a:spAutoFit/>
    </cs:bodyPr>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ln w="9525">
        <a:solidFill>
          <a:schemeClr val="lt1"/>
        </a:solidFill>
      </a:ln>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2857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solidFill>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lumOff val="10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cs:seriesAxis>
  <cs:seriesLine>
    <cs:lnRef idx="0"/>
    <cs:fillRef idx="0"/>
    <cs:effectRef idx="0"/>
    <cs:fontRef idx="minor">
      <a:schemeClr val="dk1"/>
    </cs:fontRef>
    <cs:spPr>
      <a:ln w="9525" cap="flat">
        <a:solidFill>
          <a:schemeClr val="bg1">
            <a:lumMod val="50000"/>
          </a:schemeClr>
        </a:solidFill>
        <a:round/>
      </a:ln>
    </cs:spPr>
  </cs:seriesLine>
  <cs:title>
    <cs:lnRef idx="0"/>
    <cs:fillRef idx="0"/>
    <cs:effectRef idx="0"/>
    <cs:fontRef idx="minor">
      <a:schemeClr val="dk1">
        <a:lumMod val="65000"/>
        <a:lumOff val="35000"/>
      </a:schemeClr>
    </cs:fontRef>
    <cs:defRPr sz="1800" b="1"/>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cs:trendlineLabel>
  <cs:upBar>
    <cs:lnRef idx="0"/>
    <cs:fillRef idx="0"/>
    <cs:effectRef idx="0"/>
    <cs:fontRef idx="minor">
      <a:schemeClr val="dk1"/>
    </cs:fontRef>
    <cs:spPr>
      <a:solidFill>
        <a:schemeClr val="lt1"/>
      </a:solidFill>
    </cs:spPr>
  </cs:upBar>
  <cs:valueAxis>
    <cs:lnRef idx="0"/>
    <cs:fillRef idx="0"/>
    <cs:effectRef idx="0"/>
    <cs:fontRef idx="minor">
      <a:schemeClr val="dk1">
        <a:lumMod val="65000"/>
        <a:lumOff val="35000"/>
      </a:schemeClr>
    </cs:fontRef>
    <cs:defRPr sz="900"/>
  </cs:valueAxis>
  <cs:wall>
    <cs:lnRef idx="0"/>
    <cs:fillRef idx="0"/>
    <cs:effectRef idx="0"/>
    <cs:fontRef idx="minor">
      <a:schemeClr val="dk1"/>
    </cs:fontRef>
  </cs:wall>
</cs:chartStyle>
</file>

<file path=xl/charts/style1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410">
  <cs:axisTitle>
    <cs:lnRef idx="0"/>
    <cs:fillRef idx="0"/>
    <cs:effectRef idx="0"/>
    <cs:fontRef idx="minor">
      <a:schemeClr val="tx1">
        <a:lumMod val="65000"/>
        <a:lumOff val="35000"/>
      </a:schemeClr>
    </cs:fontRef>
    <cs:spPr>
      <a:solidFill>
        <a:schemeClr val="bg1">
          <a:lumMod val="65000"/>
        </a:schemeClr>
      </a:solidFill>
      <a:ln w="19050">
        <a:solidFill>
          <a:schemeClr val="bg1"/>
        </a:solidFill>
      </a:ln>
    </cs:spPr>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4.xml"/><Relationship Id="rId4" Type="http://schemas.microsoft.com/office/2014/relationships/chartEx" Target="../charts/chartEx1.xml"/></Relationships>
</file>

<file path=xl/drawings/_rels/drawing12.xml.rels><?xml version="1.0" encoding="UTF-8" standalone="yes"?>
<Relationships xmlns="http://schemas.openxmlformats.org/package/2006/relationships"><Relationship Id="rId8" Type="http://schemas.openxmlformats.org/officeDocument/2006/relationships/chart" Target="../charts/chart12.xml"/><Relationship Id="rId3" Type="http://schemas.openxmlformats.org/officeDocument/2006/relationships/chart" Target="../charts/chart7.xml"/><Relationship Id="rId7" Type="http://schemas.openxmlformats.org/officeDocument/2006/relationships/chart" Target="../charts/chart11.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13.xml.rels><?xml version="1.0" encoding="UTF-8" standalone="yes"?>
<Relationships xmlns="http://schemas.openxmlformats.org/package/2006/relationships"><Relationship Id="rId8" Type="http://schemas.openxmlformats.org/officeDocument/2006/relationships/chart" Target="../charts/chart16.xml"/><Relationship Id="rId3" Type="http://schemas.microsoft.com/office/2014/relationships/chartEx" Target="../charts/chartEx3.xml"/><Relationship Id="rId7" Type="http://schemas.openxmlformats.org/officeDocument/2006/relationships/chart" Target="../charts/chart15.xml"/><Relationship Id="rId2" Type="http://schemas.microsoft.com/office/2014/relationships/chartEx" Target="../charts/chartEx2.xml"/><Relationship Id="rId1" Type="http://schemas.openxmlformats.org/officeDocument/2006/relationships/chart" Target="../charts/chart13.xml"/><Relationship Id="rId6" Type="http://schemas.openxmlformats.org/officeDocument/2006/relationships/chart" Target="../charts/chart14.xml"/><Relationship Id="rId11" Type="http://schemas.openxmlformats.org/officeDocument/2006/relationships/chart" Target="../charts/chart18.xml"/><Relationship Id="rId5" Type="http://schemas.microsoft.com/office/2014/relationships/chartEx" Target="../charts/chartEx5.xml"/><Relationship Id="rId10" Type="http://schemas.openxmlformats.org/officeDocument/2006/relationships/chart" Target="../charts/chart17.xml"/><Relationship Id="rId4" Type="http://schemas.microsoft.com/office/2014/relationships/chartEx" Target="../charts/chartEx4.xml"/><Relationship Id="rId9" Type="http://schemas.microsoft.com/office/2014/relationships/chartEx" Target="../charts/chartEx6.xml"/></Relationships>
</file>

<file path=xl/drawings/drawing1.xml><?xml version="1.0" encoding="utf-8"?>
<xdr:wsDr xmlns:xdr="http://schemas.openxmlformats.org/drawingml/2006/spreadsheetDrawing" xmlns:a="http://schemas.openxmlformats.org/drawingml/2006/main">
  <xdr:twoCellAnchor>
    <xdr:from>
      <xdr:col>5</xdr:col>
      <xdr:colOff>495300</xdr:colOff>
      <xdr:row>0</xdr:row>
      <xdr:rowOff>76200</xdr:rowOff>
    </xdr:from>
    <xdr:to>
      <xdr:col>6</xdr:col>
      <xdr:colOff>285750</xdr:colOff>
      <xdr:row>1</xdr:row>
      <xdr:rowOff>142875</xdr:rowOff>
    </xdr:to>
    <xdr:sp macro="[0]!TRIAGEMIEL" textlink="">
      <xdr:nvSpPr>
        <xdr:cNvPr id="2" name="Rectangle : coins arrondis 1">
          <a:extLst>
            <a:ext uri="{FF2B5EF4-FFF2-40B4-BE49-F238E27FC236}">
              <a16:creationId xmlns:a16="http://schemas.microsoft.com/office/drawing/2014/main" id="{482F5E89-87AA-5291-E5D3-6B2E16AAC3CC}"/>
            </a:ext>
          </a:extLst>
        </xdr:cNvPr>
        <xdr:cNvSpPr/>
      </xdr:nvSpPr>
      <xdr:spPr>
        <a:xfrm>
          <a:off x="5734050" y="76200"/>
          <a:ext cx="1657350" cy="266700"/>
        </a:xfrm>
        <a:prstGeom prst="roundRect">
          <a:avLst/>
        </a:prstGeom>
      </xdr:spPr>
      <xdr:style>
        <a:lnRef idx="1">
          <a:schemeClr val="accent2"/>
        </a:lnRef>
        <a:fillRef idx="3">
          <a:schemeClr val="accent2"/>
        </a:fillRef>
        <a:effectRef idx="2">
          <a:schemeClr val="accent2"/>
        </a:effectRef>
        <a:fontRef idx="minor">
          <a:schemeClr val="lt1"/>
        </a:fontRef>
      </xdr:style>
      <xdr:txBody>
        <a:bodyPr rtlCol="0" anchor="ctr"/>
        <a:lstStyle/>
        <a:p>
          <a:pPr algn="l"/>
          <a:r>
            <a:rPr lang="fr-FR" sz="1100" b="1"/>
            <a:t>TRIER</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73895</xdr:colOff>
      <xdr:row>0</xdr:row>
      <xdr:rowOff>38408</xdr:rowOff>
    </xdr:from>
    <xdr:to>
      <xdr:col>1</xdr:col>
      <xdr:colOff>806553</xdr:colOff>
      <xdr:row>2</xdr:row>
      <xdr:rowOff>30726</xdr:rowOff>
    </xdr:to>
    <xdr:sp macro="[0]!TriageDepartement" textlink="">
      <xdr:nvSpPr>
        <xdr:cNvPr id="2" name="Rectangle 1">
          <a:extLst>
            <a:ext uri="{FF2B5EF4-FFF2-40B4-BE49-F238E27FC236}">
              <a16:creationId xmlns:a16="http://schemas.microsoft.com/office/drawing/2014/main" id="{E81E6E11-F0C0-8F1F-A7D3-955946D971BB}"/>
            </a:ext>
          </a:extLst>
        </xdr:cNvPr>
        <xdr:cNvSpPr/>
      </xdr:nvSpPr>
      <xdr:spPr>
        <a:xfrm>
          <a:off x="73895" y="38408"/>
          <a:ext cx="1569936" cy="192036"/>
        </a:xfrm>
        <a:prstGeom prst="rect">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l"/>
          <a:r>
            <a:rPr lang="fr-FR" sz="1100"/>
            <a:t>Triage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32</xdr:col>
      <xdr:colOff>300217</xdr:colOff>
      <xdr:row>37</xdr:row>
      <xdr:rowOff>394742</xdr:rowOff>
    </xdr:from>
    <xdr:to>
      <xdr:col>38</xdr:col>
      <xdr:colOff>314685</xdr:colOff>
      <xdr:row>52</xdr:row>
      <xdr:rowOff>0</xdr:rowOff>
    </xdr:to>
    <xdr:graphicFrame macro="">
      <xdr:nvGraphicFramePr>
        <xdr:cNvPr id="2" name="Graphique 1">
          <a:extLst>
            <a:ext uri="{FF2B5EF4-FFF2-40B4-BE49-F238E27FC236}">
              <a16:creationId xmlns:a16="http://schemas.microsoft.com/office/drawing/2014/main" id="{D110EB0E-13D7-4C15-8BA6-D187812BC9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61</xdr:col>
      <xdr:colOff>312274</xdr:colOff>
      <xdr:row>49</xdr:row>
      <xdr:rowOff>459790</xdr:rowOff>
    </xdr:from>
    <xdr:to>
      <xdr:col>67</xdr:col>
      <xdr:colOff>331504</xdr:colOff>
      <xdr:row>63</xdr:row>
      <xdr:rowOff>10790</xdr:rowOff>
    </xdr:to>
    <xdr:graphicFrame macro="">
      <xdr:nvGraphicFramePr>
        <xdr:cNvPr id="3" name="Graphique 2">
          <a:extLst>
            <a:ext uri="{FF2B5EF4-FFF2-40B4-BE49-F238E27FC236}">
              <a16:creationId xmlns:a16="http://schemas.microsoft.com/office/drawing/2014/main" id="{9771AC02-E466-4739-A28B-15036309C8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61</xdr:col>
      <xdr:colOff>408730</xdr:colOff>
      <xdr:row>64</xdr:row>
      <xdr:rowOff>79996</xdr:rowOff>
    </xdr:from>
    <xdr:to>
      <xdr:col>67</xdr:col>
      <xdr:colOff>423198</xdr:colOff>
      <xdr:row>71</xdr:row>
      <xdr:rowOff>472089</xdr:rowOff>
    </xdr:to>
    <xdr:graphicFrame macro="">
      <xdr:nvGraphicFramePr>
        <xdr:cNvPr id="4" name="Graphique 3">
          <a:extLst>
            <a:ext uri="{FF2B5EF4-FFF2-40B4-BE49-F238E27FC236}">
              <a16:creationId xmlns:a16="http://schemas.microsoft.com/office/drawing/2014/main" id="{E5BEF2E7-D122-4653-A4F2-D037C3A1F2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45</xdr:col>
      <xdr:colOff>673984</xdr:colOff>
      <xdr:row>61</xdr:row>
      <xdr:rowOff>256089</xdr:rowOff>
    </xdr:from>
    <xdr:to>
      <xdr:col>52</xdr:col>
      <xdr:colOff>584762</xdr:colOff>
      <xdr:row>76</xdr:row>
      <xdr:rowOff>312213</xdr:rowOff>
    </xdr:to>
    <mc:AlternateContent xmlns:mc="http://schemas.openxmlformats.org/markup-compatibility/2006">
      <mc:Choice xmlns:cx1="http://schemas.microsoft.com/office/drawing/2015/9/8/chartex" Requires="cx1">
        <xdr:graphicFrame macro="">
          <xdr:nvGraphicFramePr>
            <xdr:cNvPr id="5" name="Graphique 4">
              <a:extLst>
                <a:ext uri="{FF2B5EF4-FFF2-40B4-BE49-F238E27FC236}">
                  <a16:creationId xmlns:a16="http://schemas.microsoft.com/office/drawing/2014/main" id="{808903D3-5353-4641-9924-5E63B29E00D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4"/>
            </a:graphicData>
          </a:graphic>
        </xdr:graphicFrame>
      </mc:Choice>
      <mc:Fallback>
        <xdr:sp macro="" textlink="">
          <xdr:nvSpPr>
            <xdr:cNvPr id="0" name=""/>
            <xdr:cNvSpPr>
              <a:spLocks noTextEdit="1"/>
            </xdr:cNvSpPr>
          </xdr:nvSpPr>
          <xdr:spPr>
            <a:xfrm>
              <a:off x="39688384" y="16543839"/>
              <a:ext cx="5578153" cy="4628124"/>
            </a:xfrm>
            <a:prstGeom prst="rect">
              <a:avLst/>
            </a:prstGeom>
            <a:solidFill>
              <a:prstClr val="white"/>
            </a:solidFill>
            <a:ln w="1">
              <a:solidFill>
                <a:prstClr val="green"/>
              </a:solidFill>
            </a:ln>
          </xdr:spPr>
          <xdr:txBody>
            <a:bodyPr vertOverflow="clip" horzOverflow="clip"/>
            <a:lstStyle/>
            <a:p>
              <a:r>
                <a:rPr lang="en-US" sz="1100"/>
                <a:t>Ce graphique n’est pas disponible dans votre version d’Excel.
La modification de cette forme ou l’enregistrement de ce classeur dans un autre format de fichier endommagera le graphique de façon irréparable.</a:t>
              </a:r>
            </a:p>
          </xdr:txBody>
        </xdr:sp>
      </mc:Fallback>
    </mc:AlternateContent>
    <xdr:clientData/>
  </xdr:twoCellAnchor>
  <xdr:twoCellAnchor>
    <xdr:from>
      <xdr:col>53</xdr:col>
      <xdr:colOff>481072</xdr:colOff>
      <xdr:row>79</xdr:row>
      <xdr:rowOff>399506</xdr:rowOff>
    </xdr:from>
    <xdr:to>
      <xdr:col>60</xdr:col>
      <xdr:colOff>101218</xdr:colOff>
      <xdr:row>93</xdr:row>
      <xdr:rowOff>506393</xdr:rowOff>
    </xdr:to>
    <xdr:graphicFrame macro="">
      <xdr:nvGraphicFramePr>
        <xdr:cNvPr id="6" name="Graphique 5">
          <a:extLst>
            <a:ext uri="{FF2B5EF4-FFF2-40B4-BE49-F238E27FC236}">
              <a16:creationId xmlns:a16="http://schemas.microsoft.com/office/drawing/2014/main" id="{6DC5CDFE-5393-4AB0-9965-E13357415C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36</xdr:col>
      <xdr:colOff>525945</xdr:colOff>
      <xdr:row>19</xdr:row>
      <xdr:rowOff>109331</xdr:rowOff>
    </xdr:from>
    <xdr:to>
      <xdr:col>42</xdr:col>
      <xdr:colOff>68746</xdr:colOff>
      <xdr:row>46</xdr:row>
      <xdr:rowOff>61705</xdr:rowOff>
    </xdr:to>
    <xdr:graphicFrame macro="">
      <xdr:nvGraphicFramePr>
        <xdr:cNvPr id="2" name="Graphique 1">
          <a:extLst>
            <a:ext uri="{FF2B5EF4-FFF2-40B4-BE49-F238E27FC236}">
              <a16:creationId xmlns:a16="http://schemas.microsoft.com/office/drawing/2014/main" id="{D1BC200C-606C-4B5A-A185-4DE3052349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115544</xdr:colOff>
      <xdr:row>51</xdr:row>
      <xdr:rowOff>14078</xdr:rowOff>
    </xdr:from>
    <xdr:to>
      <xdr:col>31</xdr:col>
      <xdr:colOff>629892</xdr:colOff>
      <xdr:row>71</xdr:row>
      <xdr:rowOff>6625</xdr:rowOff>
    </xdr:to>
    <xdr:graphicFrame macro="">
      <xdr:nvGraphicFramePr>
        <xdr:cNvPr id="3" name="Graphique 2">
          <a:extLst>
            <a:ext uri="{FF2B5EF4-FFF2-40B4-BE49-F238E27FC236}">
              <a16:creationId xmlns:a16="http://schemas.microsoft.com/office/drawing/2014/main" id="{FD5510B1-3AD0-472B-86D5-732EA50FF9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46</xdr:col>
      <xdr:colOff>43982</xdr:colOff>
      <xdr:row>69</xdr:row>
      <xdr:rowOff>151558</xdr:rowOff>
    </xdr:from>
    <xdr:to>
      <xdr:col>51</xdr:col>
      <xdr:colOff>509867</xdr:colOff>
      <xdr:row>85</xdr:row>
      <xdr:rowOff>0</xdr:rowOff>
    </xdr:to>
    <xdr:graphicFrame macro="">
      <xdr:nvGraphicFramePr>
        <xdr:cNvPr id="4" name="Graphique 3">
          <a:extLst>
            <a:ext uri="{FF2B5EF4-FFF2-40B4-BE49-F238E27FC236}">
              <a16:creationId xmlns:a16="http://schemas.microsoft.com/office/drawing/2014/main" id="{91BBE0F5-63E6-42FA-936B-D12E3224A4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39</xdr:col>
      <xdr:colOff>581864</xdr:colOff>
      <xdr:row>69</xdr:row>
      <xdr:rowOff>151556</xdr:rowOff>
    </xdr:from>
    <xdr:to>
      <xdr:col>45</xdr:col>
      <xdr:colOff>591388</xdr:colOff>
      <xdr:row>84</xdr:row>
      <xdr:rowOff>179293</xdr:rowOff>
    </xdr:to>
    <xdr:graphicFrame macro="">
      <xdr:nvGraphicFramePr>
        <xdr:cNvPr id="5" name="Graphique 4">
          <a:extLst>
            <a:ext uri="{FF2B5EF4-FFF2-40B4-BE49-F238E27FC236}">
              <a16:creationId xmlns:a16="http://schemas.microsoft.com/office/drawing/2014/main" id="{8C019C13-B71A-4C2F-A5C0-1196E6CB78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70</xdr:col>
      <xdr:colOff>352985</xdr:colOff>
      <xdr:row>85</xdr:row>
      <xdr:rowOff>1121</xdr:rowOff>
    </xdr:from>
    <xdr:to>
      <xdr:col>76</xdr:col>
      <xdr:colOff>229720</xdr:colOff>
      <xdr:row>111</xdr:row>
      <xdr:rowOff>0</xdr:rowOff>
    </xdr:to>
    <xdr:graphicFrame macro="">
      <xdr:nvGraphicFramePr>
        <xdr:cNvPr id="6" name="Graphique 5">
          <a:extLst>
            <a:ext uri="{FF2B5EF4-FFF2-40B4-BE49-F238E27FC236}">
              <a16:creationId xmlns:a16="http://schemas.microsoft.com/office/drawing/2014/main" id="{A3DFCB98-5DD1-47C5-B60C-E18417CDB1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76</xdr:col>
      <xdr:colOff>364190</xdr:colOff>
      <xdr:row>90</xdr:row>
      <xdr:rowOff>140353</xdr:rowOff>
    </xdr:from>
    <xdr:to>
      <xdr:col>82</xdr:col>
      <xdr:colOff>364190</xdr:colOff>
      <xdr:row>112</xdr:row>
      <xdr:rowOff>156883</xdr:rowOff>
    </xdr:to>
    <xdr:graphicFrame macro="">
      <xdr:nvGraphicFramePr>
        <xdr:cNvPr id="7" name="Graphique 6">
          <a:extLst>
            <a:ext uri="{FF2B5EF4-FFF2-40B4-BE49-F238E27FC236}">
              <a16:creationId xmlns:a16="http://schemas.microsoft.com/office/drawing/2014/main" id="{66F9F2DB-9B72-49F3-8574-45F3E5D085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82</xdr:col>
      <xdr:colOff>666749</xdr:colOff>
      <xdr:row>90</xdr:row>
      <xdr:rowOff>129147</xdr:rowOff>
    </xdr:from>
    <xdr:to>
      <xdr:col>90</xdr:col>
      <xdr:colOff>324970</xdr:colOff>
      <xdr:row>117</xdr:row>
      <xdr:rowOff>4762</xdr:rowOff>
    </xdr:to>
    <xdr:graphicFrame macro="">
      <xdr:nvGraphicFramePr>
        <xdr:cNvPr id="8" name="Graphique 7">
          <a:extLst>
            <a:ext uri="{FF2B5EF4-FFF2-40B4-BE49-F238E27FC236}">
              <a16:creationId xmlns:a16="http://schemas.microsoft.com/office/drawing/2014/main" id="{B5BC1D68-93C1-4634-9481-B7DB96AABE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82</xdr:col>
      <xdr:colOff>285748</xdr:colOff>
      <xdr:row>70</xdr:row>
      <xdr:rowOff>95528</xdr:rowOff>
    </xdr:from>
    <xdr:to>
      <xdr:col>90</xdr:col>
      <xdr:colOff>33617</xdr:colOff>
      <xdr:row>89</xdr:row>
      <xdr:rowOff>22411</xdr:rowOff>
    </xdr:to>
    <xdr:graphicFrame macro="">
      <xdr:nvGraphicFramePr>
        <xdr:cNvPr id="9" name="Graphique 8">
          <a:extLst>
            <a:ext uri="{FF2B5EF4-FFF2-40B4-BE49-F238E27FC236}">
              <a16:creationId xmlns:a16="http://schemas.microsoft.com/office/drawing/2014/main" id="{775888C5-E78B-410E-9B33-5EE155F298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42</xdr:col>
      <xdr:colOff>628281</xdr:colOff>
      <xdr:row>47</xdr:row>
      <xdr:rowOff>101948</xdr:rowOff>
    </xdr:from>
    <xdr:to>
      <xdr:col>48</xdr:col>
      <xdr:colOff>553181</xdr:colOff>
      <xdr:row>65</xdr:row>
      <xdr:rowOff>160197</xdr:rowOff>
    </xdr:to>
    <xdr:graphicFrame macro="">
      <xdr:nvGraphicFramePr>
        <xdr:cNvPr id="2" name="Graphique 1">
          <a:extLst>
            <a:ext uri="{FF2B5EF4-FFF2-40B4-BE49-F238E27FC236}">
              <a16:creationId xmlns:a16="http://schemas.microsoft.com/office/drawing/2014/main" id="{3E8D880A-0D9A-4163-BC65-411695647F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43</xdr:col>
      <xdr:colOff>254609</xdr:colOff>
      <xdr:row>67</xdr:row>
      <xdr:rowOff>7692</xdr:rowOff>
    </xdr:from>
    <xdr:to>
      <xdr:col>49</xdr:col>
      <xdr:colOff>249115</xdr:colOff>
      <xdr:row>89</xdr:row>
      <xdr:rowOff>32969</xdr:rowOff>
    </xdr:to>
    <mc:AlternateContent xmlns:mc="http://schemas.openxmlformats.org/markup-compatibility/2006">
      <mc:Choice xmlns:cx1="http://schemas.microsoft.com/office/drawing/2015/9/8/chartex" Requires="cx1">
        <xdr:graphicFrame macro="">
          <xdr:nvGraphicFramePr>
            <xdr:cNvPr id="3" name="Graphique 2">
              <a:extLst>
                <a:ext uri="{FF2B5EF4-FFF2-40B4-BE49-F238E27FC236}">
                  <a16:creationId xmlns:a16="http://schemas.microsoft.com/office/drawing/2014/main" id="{9875D8F2-B1EF-4F03-B0AC-F2F85321C72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37335434" y="15857292"/>
              <a:ext cx="5118956" cy="4978277"/>
            </a:xfrm>
            <a:prstGeom prst="rect">
              <a:avLst/>
            </a:prstGeom>
            <a:solidFill>
              <a:prstClr val="white"/>
            </a:solidFill>
            <a:ln w="1">
              <a:solidFill>
                <a:prstClr val="green"/>
              </a:solidFill>
            </a:ln>
          </xdr:spPr>
          <xdr:txBody>
            <a:bodyPr vertOverflow="clip" horzOverflow="clip"/>
            <a:lstStyle/>
            <a:p>
              <a:r>
                <a:rPr lang="en-US" sz="1100"/>
                <a:t>Ce graphique n’est pas disponible dans votre version d’Excel.
La modification de cette forme ou l’enregistrement de ce classeur dans un autre format de fichier endommagera le graphique de façon irréparable.</a:t>
              </a:r>
            </a:p>
          </xdr:txBody>
        </xdr:sp>
      </mc:Fallback>
    </mc:AlternateContent>
    <xdr:clientData/>
  </xdr:twoCellAnchor>
  <xdr:twoCellAnchor>
    <xdr:from>
      <xdr:col>12</xdr:col>
      <xdr:colOff>668220</xdr:colOff>
      <xdr:row>26</xdr:row>
      <xdr:rowOff>56001</xdr:rowOff>
    </xdr:from>
    <xdr:to>
      <xdr:col>20</xdr:col>
      <xdr:colOff>100029</xdr:colOff>
      <xdr:row>44</xdr:row>
      <xdr:rowOff>84832</xdr:rowOff>
    </xdr:to>
    <mc:AlternateContent xmlns:mc="http://schemas.openxmlformats.org/markup-compatibility/2006">
      <mc:Choice xmlns:cx1="http://schemas.microsoft.com/office/drawing/2015/9/8/chartex" Requires="cx1">
        <xdr:graphicFrame macro="">
          <xdr:nvGraphicFramePr>
            <xdr:cNvPr id="4" name="Graphique 3">
              <a:extLst>
                <a:ext uri="{FF2B5EF4-FFF2-40B4-BE49-F238E27FC236}">
                  <a16:creationId xmlns:a16="http://schemas.microsoft.com/office/drawing/2014/main" id="{A175A88D-D533-4F8F-A2D3-34C68E1F7047}"/>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3"/>
            </a:graphicData>
          </a:graphic>
        </xdr:graphicFrame>
      </mc:Choice>
      <mc:Fallback>
        <xdr:sp macro="" textlink="">
          <xdr:nvSpPr>
            <xdr:cNvPr id="0" name=""/>
            <xdr:cNvSpPr>
              <a:spLocks noTextEdit="1"/>
            </xdr:cNvSpPr>
          </xdr:nvSpPr>
          <xdr:spPr>
            <a:xfrm>
              <a:off x="10726620" y="6113901"/>
              <a:ext cx="6137409" cy="4381756"/>
            </a:xfrm>
            <a:prstGeom prst="rect">
              <a:avLst/>
            </a:prstGeom>
            <a:solidFill>
              <a:prstClr val="white"/>
            </a:solidFill>
            <a:ln w="1">
              <a:solidFill>
                <a:prstClr val="green"/>
              </a:solidFill>
            </a:ln>
          </xdr:spPr>
          <xdr:txBody>
            <a:bodyPr vertOverflow="clip" horzOverflow="clip"/>
            <a:lstStyle/>
            <a:p>
              <a:r>
                <a:rPr lang="en-US" sz="1100"/>
                <a:t>Ce graphique n’est pas disponible dans votre version d’Excel.
La modification de cette forme ou l’enregistrement de ce classeur dans un autre format de fichier endommagera le graphique de façon irréparable.</a:t>
              </a:r>
            </a:p>
          </xdr:txBody>
        </xdr:sp>
      </mc:Fallback>
    </mc:AlternateContent>
    <xdr:clientData/>
  </xdr:twoCellAnchor>
  <xdr:twoCellAnchor>
    <xdr:from>
      <xdr:col>43</xdr:col>
      <xdr:colOff>624619</xdr:colOff>
      <xdr:row>14</xdr:row>
      <xdr:rowOff>103273</xdr:rowOff>
    </xdr:from>
    <xdr:to>
      <xdr:col>49</xdr:col>
      <xdr:colOff>432288</xdr:colOff>
      <xdr:row>31</xdr:row>
      <xdr:rowOff>122225</xdr:rowOff>
    </xdr:to>
    <mc:AlternateContent xmlns:mc="http://schemas.openxmlformats.org/markup-compatibility/2006">
      <mc:Choice xmlns:cx1="http://schemas.microsoft.com/office/drawing/2015/9/8/chartex" Requires="cx1">
        <xdr:graphicFrame macro="">
          <xdr:nvGraphicFramePr>
            <xdr:cNvPr id="5" name="Graphique 4">
              <a:extLst>
                <a:ext uri="{FF2B5EF4-FFF2-40B4-BE49-F238E27FC236}">
                  <a16:creationId xmlns:a16="http://schemas.microsoft.com/office/drawing/2014/main" id="{F535C4BD-13D9-47BC-9902-40CEDFB1A621}"/>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4"/>
            </a:graphicData>
          </a:graphic>
        </xdr:graphicFrame>
      </mc:Choice>
      <mc:Fallback>
        <xdr:sp macro="" textlink="">
          <xdr:nvSpPr>
            <xdr:cNvPr id="0" name=""/>
            <xdr:cNvSpPr>
              <a:spLocks noTextEdit="1"/>
            </xdr:cNvSpPr>
          </xdr:nvSpPr>
          <xdr:spPr>
            <a:xfrm>
              <a:off x="37705444" y="3341773"/>
              <a:ext cx="4932119" cy="4067077"/>
            </a:xfrm>
            <a:prstGeom prst="rect">
              <a:avLst/>
            </a:prstGeom>
            <a:solidFill>
              <a:prstClr val="white"/>
            </a:solidFill>
            <a:ln w="1">
              <a:solidFill>
                <a:prstClr val="green"/>
              </a:solidFill>
            </a:ln>
          </xdr:spPr>
          <xdr:txBody>
            <a:bodyPr vertOverflow="clip" horzOverflow="clip"/>
            <a:lstStyle/>
            <a:p>
              <a:r>
                <a:rPr lang="en-US" sz="1100"/>
                <a:t>Ce graphique n’est pas disponible dans votre version d’Excel.
La modification de cette forme ou l’enregistrement de ce classeur dans un autre format de fichier endommagera le graphique de façon irréparable.</a:t>
              </a:r>
            </a:p>
          </xdr:txBody>
        </xdr:sp>
      </mc:Fallback>
    </mc:AlternateContent>
    <xdr:clientData/>
  </xdr:twoCellAnchor>
  <xdr:twoCellAnchor>
    <xdr:from>
      <xdr:col>2</xdr:col>
      <xdr:colOff>627311</xdr:colOff>
      <xdr:row>26</xdr:row>
      <xdr:rowOff>129226</xdr:rowOff>
    </xdr:from>
    <xdr:to>
      <xdr:col>8</xdr:col>
      <xdr:colOff>341471</xdr:colOff>
      <xdr:row>44</xdr:row>
      <xdr:rowOff>59134</xdr:rowOff>
    </xdr:to>
    <mc:AlternateContent xmlns:mc="http://schemas.openxmlformats.org/markup-compatibility/2006">
      <mc:Choice xmlns:cx1="http://schemas.microsoft.com/office/drawing/2015/9/8/chartex" Requires="cx1">
        <xdr:graphicFrame macro="">
          <xdr:nvGraphicFramePr>
            <xdr:cNvPr id="6" name="Graphique 5">
              <a:extLst>
                <a:ext uri="{FF2B5EF4-FFF2-40B4-BE49-F238E27FC236}">
                  <a16:creationId xmlns:a16="http://schemas.microsoft.com/office/drawing/2014/main" id="{B5C7068E-3946-4941-B733-9F6FC4A15C46}"/>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5"/>
            </a:graphicData>
          </a:graphic>
        </xdr:graphicFrame>
      </mc:Choice>
      <mc:Fallback>
        <xdr:sp macro="" textlink="">
          <xdr:nvSpPr>
            <xdr:cNvPr id="0" name=""/>
            <xdr:cNvSpPr>
              <a:spLocks noTextEdit="1"/>
            </xdr:cNvSpPr>
          </xdr:nvSpPr>
          <xdr:spPr>
            <a:xfrm>
              <a:off x="2303711" y="6187126"/>
              <a:ext cx="4743360" cy="4282833"/>
            </a:xfrm>
            <a:prstGeom prst="rect">
              <a:avLst/>
            </a:prstGeom>
            <a:solidFill>
              <a:prstClr val="white"/>
            </a:solidFill>
            <a:ln w="1">
              <a:solidFill>
                <a:prstClr val="green"/>
              </a:solidFill>
            </a:ln>
          </xdr:spPr>
          <xdr:txBody>
            <a:bodyPr vertOverflow="clip" horzOverflow="clip"/>
            <a:lstStyle/>
            <a:p>
              <a:r>
                <a:rPr lang="en-US" sz="1100"/>
                <a:t>Ce graphique n’est pas disponible dans votre version d’Excel.
La modification de cette forme ou l’enregistrement de ce classeur dans un autre format de fichier endommagera le graphique de façon irréparable.</a:t>
              </a:r>
            </a:p>
          </xdr:txBody>
        </xdr:sp>
      </mc:Fallback>
    </mc:AlternateContent>
    <xdr:clientData/>
  </xdr:twoCellAnchor>
  <xdr:twoCellAnchor>
    <xdr:from>
      <xdr:col>55</xdr:col>
      <xdr:colOff>370294</xdr:colOff>
      <xdr:row>57</xdr:row>
      <xdr:rowOff>177134</xdr:rowOff>
    </xdr:from>
    <xdr:to>
      <xdr:col>61</xdr:col>
      <xdr:colOff>257323</xdr:colOff>
      <xdr:row>69</xdr:row>
      <xdr:rowOff>81294</xdr:rowOff>
    </xdr:to>
    <xdr:graphicFrame macro="">
      <xdr:nvGraphicFramePr>
        <xdr:cNvPr id="7" name="Graphique 6">
          <a:extLst>
            <a:ext uri="{FF2B5EF4-FFF2-40B4-BE49-F238E27FC236}">
              <a16:creationId xmlns:a16="http://schemas.microsoft.com/office/drawing/2014/main" id="{BE3EE2B2-F38A-47B5-801A-2927A35B9D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48</xdr:col>
      <xdr:colOff>680410</xdr:colOff>
      <xdr:row>49</xdr:row>
      <xdr:rowOff>169750</xdr:rowOff>
    </xdr:from>
    <xdr:to>
      <xdr:col>54</xdr:col>
      <xdr:colOff>689270</xdr:colOff>
      <xdr:row>65</xdr:row>
      <xdr:rowOff>143981</xdr:rowOff>
    </xdr:to>
    <xdr:graphicFrame macro="">
      <xdr:nvGraphicFramePr>
        <xdr:cNvPr id="8" name="Graphique 7">
          <a:extLst>
            <a:ext uri="{FF2B5EF4-FFF2-40B4-BE49-F238E27FC236}">
              <a16:creationId xmlns:a16="http://schemas.microsoft.com/office/drawing/2014/main" id="{E99A1521-778A-41D3-9E9A-AB5E22AD95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72</xdr:col>
      <xdr:colOff>211827</xdr:colOff>
      <xdr:row>79</xdr:row>
      <xdr:rowOff>102704</xdr:rowOff>
    </xdr:from>
    <xdr:to>
      <xdr:col>79</xdr:col>
      <xdr:colOff>211827</xdr:colOff>
      <xdr:row>99</xdr:row>
      <xdr:rowOff>112643</xdr:rowOff>
    </xdr:to>
    <xdr:graphicFrame macro="">
      <xdr:nvGraphicFramePr>
        <xdr:cNvPr id="9" name="Graphique 8">
          <a:extLst>
            <a:ext uri="{FF2B5EF4-FFF2-40B4-BE49-F238E27FC236}">
              <a16:creationId xmlns:a16="http://schemas.microsoft.com/office/drawing/2014/main" id="{C5F5535A-ED55-448A-8F39-5BAEC5F612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58</xdr:col>
      <xdr:colOff>107674</xdr:colOff>
      <xdr:row>27</xdr:row>
      <xdr:rowOff>145566</xdr:rowOff>
    </xdr:from>
    <xdr:to>
      <xdr:col>63</xdr:col>
      <xdr:colOff>513522</xdr:colOff>
      <xdr:row>47</xdr:row>
      <xdr:rowOff>9732</xdr:rowOff>
    </xdr:to>
    <mc:AlternateContent xmlns:mc="http://schemas.openxmlformats.org/markup-compatibility/2006">
      <mc:Choice xmlns:cx1="http://schemas.microsoft.com/office/drawing/2015/9/8/chartex" Requires="cx1">
        <xdr:graphicFrame macro="">
          <xdr:nvGraphicFramePr>
            <xdr:cNvPr id="10" name="Graphique 9">
              <a:extLst>
                <a:ext uri="{FF2B5EF4-FFF2-40B4-BE49-F238E27FC236}">
                  <a16:creationId xmlns:a16="http://schemas.microsoft.com/office/drawing/2014/main" id="{40A5E75B-E984-4D0C-9172-DAD60F03838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49904374" y="6393966"/>
              <a:ext cx="4596848" cy="4598091"/>
            </a:xfrm>
            <a:prstGeom prst="rect">
              <a:avLst/>
            </a:prstGeom>
            <a:solidFill>
              <a:prstClr val="white"/>
            </a:solidFill>
            <a:ln w="1">
              <a:solidFill>
                <a:prstClr val="green"/>
              </a:solidFill>
            </a:ln>
          </xdr:spPr>
          <xdr:txBody>
            <a:bodyPr vertOverflow="clip" horzOverflow="clip"/>
            <a:lstStyle/>
            <a:p>
              <a:r>
                <a:rPr lang="en-US" sz="1100"/>
                <a:t>Ce graphique n’est pas disponible dans votre version d’Excel.
La modification de cette forme ou l’enregistrement de ce classeur dans un autre format de fichier endommagera le graphique de façon irréparable.</a:t>
              </a:r>
            </a:p>
          </xdr:txBody>
        </xdr:sp>
      </mc:Fallback>
    </mc:AlternateContent>
    <xdr:clientData/>
  </xdr:twoCellAnchor>
  <xdr:twoCellAnchor>
    <xdr:from>
      <xdr:col>53</xdr:col>
      <xdr:colOff>136072</xdr:colOff>
      <xdr:row>70</xdr:row>
      <xdr:rowOff>144117</xdr:rowOff>
    </xdr:from>
    <xdr:to>
      <xdr:col>62</xdr:col>
      <xdr:colOff>284092</xdr:colOff>
      <xdr:row>89</xdr:row>
      <xdr:rowOff>68036</xdr:rowOff>
    </xdr:to>
    <xdr:graphicFrame macro="">
      <xdr:nvGraphicFramePr>
        <xdr:cNvPr id="11" name="Graphique 10">
          <a:extLst>
            <a:ext uri="{FF2B5EF4-FFF2-40B4-BE49-F238E27FC236}">
              <a16:creationId xmlns:a16="http://schemas.microsoft.com/office/drawing/2014/main" id="{C5274FA9-BA6D-4D2C-9BA4-7CF52E4FBD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63</xdr:col>
      <xdr:colOff>106814</xdr:colOff>
      <xdr:row>68</xdr:row>
      <xdr:rowOff>102733</xdr:rowOff>
    </xdr:from>
    <xdr:to>
      <xdr:col>71</xdr:col>
      <xdr:colOff>707571</xdr:colOff>
      <xdr:row>91</xdr:row>
      <xdr:rowOff>81643</xdr:rowOff>
    </xdr:to>
    <xdr:graphicFrame macro="">
      <xdr:nvGraphicFramePr>
        <xdr:cNvPr id="12" name="Graphique 11">
          <a:extLst>
            <a:ext uri="{FF2B5EF4-FFF2-40B4-BE49-F238E27FC236}">
              <a16:creationId xmlns:a16="http://schemas.microsoft.com/office/drawing/2014/main" id="{A1E8B9C3-51DD-4DC9-B6FA-7EE8EECBA2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152400</xdr:colOff>
      <xdr:row>0</xdr:row>
      <xdr:rowOff>66675</xdr:rowOff>
    </xdr:from>
    <xdr:to>
      <xdr:col>6</xdr:col>
      <xdr:colOff>561975</xdr:colOff>
      <xdr:row>1</xdr:row>
      <xdr:rowOff>161925</xdr:rowOff>
    </xdr:to>
    <xdr:sp macro="[0]!TRIAGETRAITEUR" textlink="">
      <xdr:nvSpPr>
        <xdr:cNvPr id="2" name="Rectangle : coins arrondis 1">
          <a:extLst>
            <a:ext uri="{FF2B5EF4-FFF2-40B4-BE49-F238E27FC236}">
              <a16:creationId xmlns:a16="http://schemas.microsoft.com/office/drawing/2014/main" id="{89170DE9-877D-E24C-65CE-9597FA4505CC}"/>
            </a:ext>
          </a:extLst>
        </xdr:cNvPr>
        <xdr:cNvSpPr/>
      </xdr:nvSpPr>
      <xdr:spPr>
        <a:xfrm>
          <a:off x="6296025" y="66675"/>
          <a:ext cx="1552575" cy="295275"/>
        </a:xfrm>
        <a:prstGeom prst="roundRect">
          <a:avLst/>
        </a:prstGeom>
      </xdr:spPr>
      <xdr:style>
        <a:lnRef idx="1">
          <a:schemeClr val="accent2"/>
        </a:lnRef>
        <a:fillRef idx="3">
          <a:schemeClr val="accent2"/>
        </a:fillRef>
        <a:effectRef idx="2">
          <a:schemeClr val="accent2"/>
        </a:effectRef>
        <a:fontRef idx="minor">
          <a:schemeClr val="lt1"/>
        </a:fontRef>
      </xdr:style>
      <xdr:txBody>
        <a:bodyPr rtlCol="0" anchor="ctr"/>
        <a:lstStyle/>
        <a:p>
          <a:pPr algn="l"/>
          <a:r>
            <a:rPr lang="fr-FR" sz="1100" b="1"/>
            <a:t>TRIER</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1466850</xdr:colOff>
      <xdr:row>0</xdr:row>
      <xdr:rowOff>133350</xdr:rowOff>
    </xdr:from>
    <xdr:to>
      <xdr:col>6</xdr:col>
      <xdr:colOff>1114425</xdr:colOff>
      <xdr:row>2</xdr:row>
      <xdr:rowOff>0</xdr:rowOff>
    </xdr:to>
    <xdr:sp macro="[0]!TRIAGEBIERE" textlink="">
      <xdr:nvSpPr>
        <xdr:cNvPr id="2" name="Rectangle : coins arrondis 1">
          <a:extLst>
            <a:ext uri="{FF2B5EF4-FFF2-40B4-BE49-F238E27FC236}">
              <a16:creationId xmlns:a16="http://schemas.microsoft.com/office/drawing/2014/main" id="{60676F51-8B0F-6E11-9A72-EE026B96DCFB}"/>
            </a:ext>
          </a:extLst>
        </xdr:cNvPr>
        <xdr:cNvSpPr/>
      </xdr:nvSpPr>
      <xdr:spPr>
        <a:xfrm>
          <a:off x="6124575" y="133350"/>
          <a:ext cx="1809750" cy="266700"/>
        </a:xfrm>
        <a:prstGeom prst="roundRect">
          <a:avLst/>
        </a:prstGeom>
      </xdr:spPr>
      <xdr:style>
        <a:lnRef idx="1">
          <a:schemeClr val="accent2"/>
        </a:lnRef>
        <a:fillRef idx="3">
          <a:schemeClr val="accent2"/>
        </a:fillRef>
        <a:effectRef idx="2">
          <a:schemeClr val="accent2"/>
        </a:effectRef>
        <a:fontRef idx="minor">
          <a:schemeClr val="lt1"/>
        </a:fontRef>
      </xdr:style>
      <xdr:txBody>
        <a:bodyPr rtlCol="0" anchor="ctr"/>
        <a:lstStyle/>
        <a:p>
          <a:pPr algn="l"/>
          <a:r>
            <a:rPr lang="fr-FR" sz="1100" b="1"/>
            <a:t>TRIER</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266700</xdr:colOff>
      <xdr:row>0</xdr:row>
      <xdr:rowOff>85725</xdr:rowOff>
    </xdr:from>
    <xdr:to>
      <xdr:col>8</xdr:col>
      <xdr:colOff>190500</xdr:colOff>
      <xdr:row>2</xdr:row>
      <xdr:rowOff>19050</xdr:rowOff>
    </xdr:to>
    <xdr:sp macro="[0]!TRIAGEFERMIERS" textlink="">
      <xdr:nvSpPr>
        <xdr:cNvPr id="2" name="Rectangle : coins arrondis 1">
          <a:extLst>
            <a:ext uri="{FF2B5EF4-FFF2-40B4-BE49-F238E27FC236}">
              <a16:creationId xmlns:a16="http://schemas.microsoft.com/office/drawing/2014/main" id="{F1D1E712-819D-4D1C-F6A1-1EDCB4DAF11E}"/>
            </a:ext>
          </a:extLst>
        </xdr:cNvPr>
        <xdr:cNvSpPr/>
      </xdr:nvSpPr>
      <xdr:spPr>
        <a:xfrm>
          <a:off x="7362825" y="85725"/>
          <a:ext cx="2266950" cy="333375"/>
        </a:xfrm>
        <a:prstGeom prst="roundRect">
          <a:avLst/>
        </a:prstGeom>
      </xdr:spPr>
      <xdr:style>
        <a:lnRef idx="1">
          <a:schemeClr val="accent2"/>
        </a:lnRef>
        <a:fillRef idx="3">
          <a:schemeClr val="accent2"/>
        </a:fillRef>
        <a:effectRef idx="2">
          <a:schemeClr val="accent2"/>
        </a:effectRef>
        <a:fontRef idx="minor">
          <a:schemeClr val="lt1"/>
        </a:fontRef>
      </xdr:style>
      <xdr:txBody>
        <a:bodyPr rtlCol="0" anchor="ctr"/>
        <a:lstStyle/>
        <a:p>
          <a:pPr algn="l"/>
          <a:r>
            <a:rPr lang="fr-FR" sz="1100" b="1"/>
            <a:t>TRIER</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257175</xdr:colOff>
      <xdr:row>0</xdr:row>
      <xdr:rowOff>57150</xdr:rowOff>
    </xdr:from>
    <xdr:to>
      <xdr:col>8</xdr:col>
      <xdr:colOff>790575</xdr:colOff>
      <xdr:row>1</xdr:row>
      <xdr:rowOff>133350</xdr:rowOff>
    </xdr:to>
    <xdr:sp macro="[0]!TRIAGELAIT" textlink="">
      <xdr:nvSpPr>
        <xdr:cNvPr id="2" name="Rectangle : coins arrondis 1">
          <a:extLst>
            <a:ext uri="{FF2B5EF4-FFF2-40B4-BE49-F238E27FC236}">
              <a16:creationId xmlns:a16="http://schemas.microsoft.com/office/drawing/2014/main" id="{010921C8-58F0-4613-15AB-B93A2771A871}"/>
            </a:ext>
          </a:extLst>
        </xdr:cNvPr>
        <xdr:cNvSpPr/>
      </xdr:nvSpPr>
      <xdr:spPr>
        <a:xfrm>
          <a:off x="5791200" y="57150"/>
          <a:ext cx="2514600" cy="276225"/>
        </a:xfrm>
        <a:prstGeom prst="roundRect">
          <a:avLst/>
        </a:prstGeom>
      </xdr:spPr>
      <xdr:style>
        <a:lnRef idx="1">
          <a:schemeClr val="accent2"/>
        </a:lnRef>
        <a:fillRef idx="3">
          <a:schemeClr val="accent2"/>
        </a:fillRef>
        <a:effectRef idx="2">
          <a:schemeClr val="accent2"/>
        </a:effectRef>
        <a:fontRef idx="minor">
          <a:schemeClr val="lt1"/>
        </a:fontRef>
      </xdr:style>
      <xdr:txBody>
        <a:bodyPr rtlCol="0" anchor="ctr"/>
        <a:lstStyle/>
        <a:p>
          <a:pPr algn="l"/>
          <a:r>
            <a:rPr lang="fr-FR" sz="1100" b="1"/>
            <a:t>TRIER</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838200</xdr:colOff>
      <xdr:row>0</xdr:row>
      <xdr:rowOff>76200</xdr:rowOff>
    </xdr:from>
    <xdr:to>
      <xdr:col>7</xdr:col>
      <xdr:colOff>238125</xdr:colOff>
      <xdr:row>1</xdr:row>
      <xdr:rowOff>161925</xdr:rowOff>
    </xdr:to>
    <xdr:sp macro="[0]!TRIAGECIDRE" textlink="">
      <xdr:nvSpPr>
        <xdr:cNvPr id="9" name="Rectangle : coins arrondis 8">
          <a:extLst>
            <a:ext uri="{FF2B5EF4-FFF2-40B4-BE49-F238E27FC236}">
              <a16:creationId xmlns:a16="http://schemas.microsoft.com/office/drawing/2014/main" id="{C3031926-C5E6-8798-81CE-0C8F4A18A00D}"/>
            </a:ext>
          </a:extLst>
        </xdr:cNvPr>
        <xdr:cNvSpPr/>
      </xdr:nvSpPr>
      <xdr:spPr>
        <a:xfrm>
          <a:off x="5534025" y="76200"/>
          <a:ext cx="2333625" cy="285750"/>
        </a:xfrm>
        <a:prstGeom prst="roundRect">
          <a:avLst/>
        </a:prstGeom>
      </xdr:spPr>
      <xdr:style>
        <a:lnRef idx="1">
          <a:schemeClr val="accent2"/>
        </a:lnRef>
        <a:fillRef idx="3">
          <a:schemeClr val="accent2"/>
        </a:fillRef>
        <a:effectRef idx="2">
          <a:schemeClr val="accent2"/>
        </a:effectRef>
        <a:fontRef idx="minor">
          <a:schemeClr val="lt1"/>
        </a:fontRef>
      </xdr:style>
      <xdr:txBody>
        <a:bodyPr rtlCol="0" anchor="ctr"/>
        <a:lstStyle/>
        <a:p>
          <a:pPr algn="l"/>
          <a:r>
            <a:rPr lang="fr-FR" sz="1100" b="1"/>
            <a:t>TRIER</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114300</xdr:colOff>
      <xdr:row>0</xdr:row>
      <xdr:rowOff>104775</xdr:rowOff>
    </xdr:from>
    <xdr:to>
      <xdr:col>6</xdr:col>
      <xdr:colOff>114300</xdr:colOff>
      <xdr:row>1</xdr:row>
      <xdr:rowOff>123825</xdr:rowOff>
    </xdr:to>
    <xdr:sp macro="[0]!TRIAGE" textlink="">
      <xdr:nvSpPr>
        <xdr:cNvPr id="3" name="Rectangle : coins arrondis 2">
          <a:extLst>
            <a:ext uri="{FF2B5EF4-FFF2-40B4-BE49-F238E27FC236}">
              <a16:creationId xmlns:a16="http://schemas.microsoft.com/office/drawing/2014/main" id="{C0A09DF7-6D6C-F323-F106-22D93AED0A31}"/>
            </a:ext>
          </a:extLst>
        </xdr:cNvPr>
        <xdr:cNvSpPr/>
      </xdr:nvSpPr>
      <xdr:spPr>
        <a:xfrm>
          <a:off x="6810375" y="104775"/>
          <a:ext cx="2295525" cy="219075"/>
        </a:xfrm>
        <a:prstGeom prst="roundRect">
          <a:avLst/>
        </a:prstGeom>
      </xdr:spPr>
      <xdr:style>
        <a:lnRef idx="1">
          <a:schemeClr val="accent2"/>
        </a:lnRef>
        <a:fillRef idx="3">
          <a:schemeClr val="accent2"/>
        </a:fillRef>
        <a:effectRef idx="2">
          <a:schemeClr val="accent2"/>
        </a:effectRef>
        <a:fontRef idx="minor">
          <a:schemeClr val="lt1"/>
        </a:fontRef>
      </xdr:style>
      <xdr:txBody>
        <a:bodyPr rtlCol="0" anchor="ctr"/>
        <a:lstStyle/>
        <a:p>
          <a:pPr algn="l"/>
          <a:r>
            <a:rPr lang="fr-FR" sz="1100" b="1"/>
            <a:t>TRIER</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1133475</xdr:colOff>
      <xdr:row>0</xdr:row>
      <xdr:rowOff>66675</xdr:rowOff>
    </xdr:from>
    <xdr:to>
      <xdr:col>7</xdr:col>
      <xdr:colOff>85725</xdr:colOff>
      <xdr:row>1</xdr:row>
      <xdr:rowOff>114300</xdr:rowOff>
    </xdr:to>
    <xdr:sp macro="[0]!TRIAGECONSO" textlink="">
      <xdr:nvSpPr>
        <xdr:cNvPr id="2" name="Rectangle : coins arrondis 1">
          <a:extLst>
            <a:ext uri="{FF2B5EF4-FFF2-40B4-BE49-F238E27FC236}">
              <a16:creationId xmlns:a16="http://schemas.microsoft.com/office/drawing/2014/main" id="{799F407B-684D-C55B-A788-B215997C23BC}"/>
            </a:ext>
          </a:extLst>
        </xdr:cNvPr>
        <xdr:cNvSpPr/>
      </xdr:nvSpPr>
      <xdr:spPr>
        <a:xfrm>
          <a:off x="6496050" y="66675"/>
          <a:ext cx="1238250" cy="247650"/>
        </a:xfrm>
        <a:prstGeom prst="roundRect">
          <a:avLst/>
        </a:prstGeom>
      </xdr:spPr>
      <xdr:style>
        <a:lnRef idx="1">
          <a:schemeClr val="accent2"/>
        </a:lnRef>
        <a:fillRef idx="3">
          <a:schemeClr val="accent2"/>
        </a:fillRef>
        <a:effectRef idx="2">
          <a:schemeClr val="accent2"/>
        </a:effectRef>
        <a:fontRef idx="minor">
          <a:schemeClr val="lt1"/>
        </a:fontRef>
      </xdr:style>
      <xdr:txBody>
        <a:bodyPr rtlCol="0" anchor="ctr"/>
        <a:lstStyle/>
        <a:p>
          <a:pPr algn="l"/>
          <a:r>
            <a:rPr lang="fr-FR" sz="1100" b="1"/>
            <a:t>TRIER</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581025</xdr:colOff>
      <xdr:row>0</xdr:row>
      <xdr:rowOff>9525</xdr:rowOff>
    </xdr:from>
    <xdr:to>
      <xdr:col>8</xdr:col>
      <xdr:colOff>1238250</xdr:colOff>
      <xdr:row>1</xdr:row>
      <xdr:rowOff>114300</xdr:rowOff>
    </xdr:to>
    <xdr:sp macro="[0]!TRIAGESYNTH" textlink="">
      <xdr:nvSpPr>
        <xdr:cNvPr id="2" name="Rectangle : coins arrondis 1">
          <a:extLst>
            <a:ext uri="{FF2B5EF4-FFF2-40B4-BE49-F238E27FC236}">
              <a16:creationId xmlns:a16="http://schemas.microsoft.com/office/drawing/2014/main" id="{AB76EF42-60AF-B71B-0175-B32195A759C1}"/>
            </a:ext>
          </a:extLst>
        </xdr:cNvPr>
        <xdr:cNvSpPr/>
      </xdr:nvSpPr>
      <xdr:spPr>
        <a:xfrm>
          <a:off x="7200900" y="9525"/>
          <a:ext cx="1724025" cy="304800"/>
        </a:xfrm>
        <a:prstGeom prst="roundRect">
          <a:avLst/>
        </a:prstGeom>
      </xdr:spPr>
      <xdr:style>
        <a:lnRef idx="1">
          <a:schemeClr val="accent2"/>
        </a:lnRef>
        <a:fillRef idx="3">
          <a:schemeClr val="accent2"/>
        </a:fillRef>
        <a:effectRef idx="2">
          <a:schemeClr val="accent2"/>
        </a:effectRef>
        <a:fontRef idx="minor">
          <a:schemeClr val="lt1"/>
        </a:fontRef>
      </xdr:style>
      <xdr:txBody>
        <a:bodyPr rtlCol="0" anchor="ctr"/>
        <a:lstStyle/>
        <a:p>
          <a:pPr algn="l"/>
          <a:r>
            <a:rPr lang="fr-FR" sz="1100" b="1"/>
            <a:t>TRIER</a:t>
          </a:r>
        </a:p>
      </xdr:txBody>
    </xdr:sp>
    <xdr:clientData/>
  </xdr:twoCellAnchor>
  <xdr:twoCellAnchor>
    <xdr:from>
      <xdr:col>7</xdr:col>
      <xdr:colOff>581025</xdr:colOff>
      <xdr:row>76</xdr:row>
      <xdr:rowOff>9525</xdr:rowOff>
    </xdr:from>
    <xdr:to>
      <xdr:col>8</xdr:col>
      <xdr:colOff>1238250</xdr:colOff>
      <xdr:row>77</xdr:row>
      <xdr:rowOff>114300</xdr:rowOff>
    </xdr:to>
    <xdr:sp macro="[0]!TRIAGESYNTH" textlink="">
      <xdr:nvSpPr>
        <xdr:cNvPr id="4" name="Rectangle : coins arrondis 3">
          <a:extLst>
            <a:ext uri="{FF2B5EF4-FFF2-40B4-BE49-F238E27FC236}">
              <a16:creationId xmlns:a16="http://schemas.microsoft.com/office/drawing/2014/main" id="{A6B92250-9378-4AF0-8A98-7A7C65B255E6}"/>
            </a:ext>
          </a:extLst>
        </xdr:cNvPr>
        <xdr:cNvSpPr/>
      </xdr:nvSpPr>
      <xdr:spPr>
        <a:xfrm>
          <a:off x="7458075" y="9525"/>
          <a:ext cx="1724025" cy="304800"/>
        </a:xfrm>
        <a:prstGeom prst="roundRect">
          <a:avLst/>
        </a:prstGeom>
      </xdr:spPr>
      <xdr:style>
        <a:lnRef idx="1">
          <a:schemeClr val="accent2"/>
        </a:lnRef>
        <a:fillRef idx="3">
          <a:schemeClr val="accent2"/>
        </a:fillRef>
        <a:effectRef idx="2">
          <a:schemeClr val="accent2"/>
        </a:effectRef>
        <a:fontRef idx="minor">
          <a:schemeClr val="lt1"/>
        </a:fontRef>
      </xdr:style>
      <xdr:txBody>
        <a:bodyPr rtlCol="0" anchor="ctr"/>
        <a:lstStyle/>
        <a:p>
          <a:pPr algn="l"/>
          <a:r>
            <a:rPr lang="fr-FR" sz="1100" b="1"/>
            <a:t>TRIER</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FCFA58C-CA8C-4054-B322-4430348A5B5C}" name="Tableau9" displayName="Tableau9" ref="A4:K75" totalsRowShown="0" headerRowDxfId="107" dataDxfId="105" headerRowBorderDxfId="106" tableBorderDxfId="104" headerRowCellStyle="Normal 2">
  <autoFilter ref="A4:K75" xr:uid="{EFCFA58C-CA8C-4054-B322-4430348A5B5C}"/>
  <sortState xmlns:xlrd2="http://schemas.microsoft.com/office/spreadsheetml/2017/richdata2" ref="A5:K75">
    <sortCondition ref="C5:C75"/>
    <sortCondition ref="B5:B75"/>
    <sortCondition ref="A5:A75"/>
  </sortState>
  <tableColumns count="11">
    <tableColumn id="1" xr3:uid="{6CB019BB-2EAB-4A39-8038-517E2716FE9B}" name="référence " dataDxfId="103"/>
    <tableColumn id="2" xr3:uid="{E60B8BDF-ECBF-4A44-8120-977908A5354F}" name="Arrondissement" dataDxfId="102"/>
    <tableColumn id="3" xr3:uid="{150590A8-C347-4B8E-9B71-F262609C1986}" name="Département" dataDxfId="101"/>
    <tableColumn id="4" xr3:uid="{5BBE3D07-79FC-46D1-B475-D20FA23B2716}" name="Libellé" dataDxfId="100"/>
    <tableColumn id="5" xr3:uid="{2937C3DD-D1E6-43DB-A2D8-168C9AF04C6E}" name="Code" dataDxfId="99"/>
    <tableColumn id="6" xr3:uid="{09B7A85B-D2D1-4013-ADDD-4D250F78A0ED}" name="Total miel (kg - 2022 - Agrex)" dataDxfId="98"/>
    <tableColumn id="7" xr3:uid="{C38BB8E0-40D3-4A75-8677-37362ACB06EB}" name="Total conditionné (91%)" dataDxfId="97"/>
    <tableColumn id="8" xr3:uid="{9938718A-7B03-4715-B8D0-A23641B3AF8C}" name="Part" dataDxfId="96"/>
    <tableColumn id="9" xr3:uid="{A892BCB0-4896-44AB-9C1A-8BA07DA680BB}" name="Miel Total Kilo UVC 2022" dataDxfId="95"/>
    <tableColumn id="10" xr3:uid="{6E4F1EE4-C4F3-4691-B046-9A4912263E21}" name="Kilo UVC loi AGEC 2026 (5%)" dataDxfId="94"/>
    <tableColumn id="11" xr3:uid="{AAF5F02D-6590-4BC2-89DB-8E48D8F99C85}" name="Kilo UVC loi AGEC 2027 (10 %)" dataDxfId="93"/>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94A3D10-42AF-4633-81AF-211998FFB17B}" name="Tableau4" displayName="Tableau4" ref="A4:BI77" totalsRowShown="0" headerRowDxfId="48" headerRowBorderDxfId="47" tableBorderDxfId="46" headerRowCellStyle="Normal 2">
  <autoFilter ref="A4:BI77" xr:uid="{994A3D10-42AF-4633-81AF-211998FFB17B}"/>
  <sortState xmlns:xlrd2="http://schemas.microsoft.com/office/spreadsheetml/2017/richdata2" ref="A5:BI77">
    <sortCondition ref="C5:C77"/>
    <sortCondition ref="B5:B77"/>
    <sortCondition ref="A5:A77"/>
  </sortState>
  <tableColumns count="61">
    <tableColumn id="1" xr3:uid="{E0A73839-549E-4E2F-878D-658288F29073}" name="référence "/>
    <tableColumn id="2" xr3:uid="{1406FAF8-B375-4D37-B420-E97C2DE9DF3D}" name="Arrondissement"/>
    <tableColumn id="3" xr3:uid="{51CA4802-606D-436F-BFD8-5325816693C4}" name="Département"/>
    <tableColumn id="4" xr3:uid="{5A00790B-E629-42B2-96E4-139293C86AE4}" name="Libellé"/>
    <tableColumn id="5" xr3:uid="{44816BA7-140B-4E39-9963-98017BA2392B}" name="Code"/>
    <tableColumn id="6" xr3:uid="{F227D9BA-6CC8-4E50-B69C-34EE39E12CAA}" name="KUVC Miel"/>
    <tableColumn id="7" xr3:uid="{B30D3A9C-2FCC-423B-BFC7-D5D24B5EFE89}" name="KUVC ind. Lait.  "/>
    <tableColumn id="8" xr3:uid="{B53EBC2B-559E-4400-8DD7-40D54204AC6F}" name="KUVC fermiers"/>
    <tableColumn id="9" xr3:uid="{5E821229-3D7D-4A4B-A491-3ACF91DCBF4F}" name="KUVC rest. à emporter / traiteur"/>
    <tableColumn id="10" xr3:uid="{7FDE90BE-14B7-42B8-8211-D8F95B17AF1C}" name="KUVC portage domicile"/>
    <tableColumn id="11" xr3:uid="{0658F843-0060-46A2-AAB3-BD46AC07E432}" name="KUVC bière"/>
    <tableColumn id="12" xr3:uid="{9226931A-150D-4770-823C-9AB927FC5752}" name="KUVC cidricole"/>
    <tableColumn id="13" xr3:uid="{1AA6823B-2EAE-46FC-8363-035CF343F2D3}" name="KUVC totales"/>
    <tableColumn id="14" xr3:uid="{6B5E1C4E-C8A4-4FEC-9D00-65EDF490C516}" name="KUVCMiel (FR)"/>
    <tableColumn id="15" xr3:uid="{B3DE4264-2746-4DE8-BEA3-3C592AA03F1D}" name="KUVC ind. Lait. (FR)"/>
    <tableColumn id="16" xr3:uid="{DEAAED20-0B36-4511-BC51-E065116AD8E3}" name="KUVC fermiers (FR)"/>
    <tableColumn id="17" xr3:uid="{E974E36E-74F1-4392-AC50-37FF4BA67B8C}" name="KUVC rest. à emporter (FR)"/>
    <tableColumn id="18" xr3:uid="{6C308E2A-95B8-48E9-A501-A52420B53E93}" name="KUVC portage domicile (FR)"/>
    <tableColumn id="19" xr3:uid="{C91A3663-16FC-4805-AF19-56735F504638}" name="KUVC bière (FR)"/>
    <tableColumn id="20" xr3:uid="{BA3E8E77-6D76-476E-B78A-C613C8E9CD70}" name="KUVC cidricole (FR)"/>
    <tableColumn id="21" xr3:uid="{149341D6-5CD6-451A-A9AB-FE2CCC7BF05C}" name="KUVC totales (FR)"/>
    <tableColumn id="22" xr3:uid="{BE9C6125-D2DD-44BA-8966-BC5383265D87}" name="KUVCMiel Agec 2027"/>
    <tableColumn id="23" xr3:uid="{1C41E6B2-9562-4390-BF8E-FAAC0DA8AE87}" name="KUVC ind. Lait. Agec 2027"/>
    <tableColumn id="24" xr3:uid="{476B5BD1-74FF-4020-A331-88913D1920C9}" name="KUVC fermiers Agec 2027"/>
    <tableColumn id="25" xr3:uid="{F24AFD59-73B5-4BA3-8503-6BDC252A2F4E}" name="KUVC rest. à emporter Agec 2027"/>
    <tableColumn id="26" xr3:uid="{0668A607-B868-4B7C-BFD9-C7B575D3C45A}" name="KUVC portage domicile Agec 2027"/>
    <tableColumn id="27" xr3:uid="{5E0CA423-4DD3-4432-A5E8-3DBE3CF27B56}" name="KUVC bière Agec 2027"/>
    <tableColumn id="28" xr3:uid="{DDC2062E-CB04-4387-A127-44B11EB864C7}" name="KUVC cidricole Agec 2027    "/>
    <tableColumn id="29" xr3:uid="{5F9FFA54-D1D1-4245-94BD-AB5FB4714359}" name="KUVC totales Agec 2027"/>
    <tableColumn id="30" xr3:uid="{FFD8B01A-9EBD-446C-8784-AA4722FFAA9E}" name="KUVC Miel Conso"/>
    <tableColumn id="31" xr3:uid="{F81F101A-931C-4DA0-A033-751577EBA0F6}" name="KUVC ind. Lait.  Conso"/>
    <tableColumn id="32" xr3:uid="{2775045B-CBD3-479E-AB93-018F5941EA77}" name="KUVC fermiers   Conso"/>
    <tableColumn id="33" xr3:uid="{3D019339-F695-4E44-9A28-BAE860C20B3A}" name="KUVC rest. à emporter  Conso"/>
    <tableColumn id="34" xr3:uid="{342E7D21-C648-4252-9C38-58B35392C678}" name="KUVC portage domicile  Conso"/>
    <tableColumn id="35" xr3:uid="{4C5C4715-D89A-48A0-ABBF-20F0B187045F}" name="KUVC bière  Conso"/>
    <tableColumn id="36" xr3:uid="{1C47A43E-5EF8-48CB-B308-0D70A799611C}" name="KUVC cidricole  Conso"/>
    <tableColumn id="37" xr3:uid="{669E4708-9FB4-4F0C-A171-E04B84ABA503}" name="KUVC totales  Conso"/>
    <tableColumn id="38" xr3:uid="{58FCDAC6-3FDD-4862-B282-A6898C4DCDD5}" name="KUVC Miel   Conso FR" dataDxfId="45">
      <calculatedColumnFormula>Tableau4[[#This Row],[KUVC Miel Conso]]*BC$94</calculatedColumnFormula>
    </tableColumn>
    <tableColumn id="39" xr3:uid="{55EF7FD6-BD8F-4CF6-AD22-120F26C42596}" name="KUVC ind. Lait.  Conso FR"/>
    <tableColumn id="40" xr3:uid="{44F07A52-403D-4F5D-A078-36051E2A74F8}" name="KUVC fermiers Conso FR"/>
    <tableColumn id="41" xr3:uid="{B04E4DF5-D431-4C01-A192-BD6D9DBD608D}" name="KUVC rest. à emporter Conso FR"/>
    <tableColumn id="42" xr3:uid="{F12C6DE1-9F64-48CF-8F8D-58A83C2F0437}" name="KUVC portage domicile Conso FR"/>
    <tableColumn id="43" xr3:uid="{ED025CF1-7B45-481D-A877-068538813440}" name="KUVC bière  Conso FR"/>
    <tableColumn id="44" xr3:uid="{5091A8A0-F63F-4A16-923E-B8708718D0E3}" name="KUVC cidricole  Conso FR"/>
    <tableColumn id="45" xr3:uid="{3CCAB6DC-D346-4A47-8727-CA9E94CDD4CA}" name="KUVC totales  Conso FR"/>
    <tableColumn id="46" xr3:uid="{1E9557FA-CA2D-471A-845C-DB9B53B01EBB}" name="KUVC Miel fixés FR"/>
    <tableColumn id="47" xr3:uid="{F024F36B-963D-41E1-81C2-067DC1372E08}" name="KUVC ind. Lait. fixées FR"/>
    <tableColumn id="48" xr3:uid="{5254507B-15A6-4F55-85AF-91BA5B7091CC}" name="KUVC fermiers fixées FR"/>
    <tableColumn id="49" xr3:uid="{5E4E0F9A-C82C-42CE-92B9-F0B8D8110A22}" name="KUVC rest. à emporter fixées FR"/>
    <tableColumn id="50" xr3:uid="{CA3D26EA-CDEF-4E24-903A-4AE1E5485C86}" name="KUVC portage domicile fixées FR"/>
    <tableColumn id="51" xr3:uid="{9DE83654-EB03-4E52-BE0F-5FDB26BF3D4E}" name="KUVC bière fixées FR"/>
    <tableColumn id="52" xr3:uid="{DCC884B3-874B-476E-BE1E-A40A0CCFD6A3}" name="KUVC cidricole fixées FR"/>
    <tableColumn id="53" xr3:uid="{0D294818-E2CB-4572-BC8E-99F441415769}" name="KUVC totales fixées FR"/>
    <tableColumn id="54" xr3:uid="{398EB63F-A966-4612-A7B5-EE19EA5FAB41}" name="KUVC Miel fixées       "/>
    <tableColumn id="55" xr3:uid="{55844D56-6F31-4CF0-83CA-2D7834AC15E6}" name="KUVC ind. Lait.  fixées              "/>
    <tableColumn id="56" xr3:uid="{6015F2D7-36C4-4D01-97CA-3F4BACF79188}" name="KUVC fermiers  fixeés            "/>
    <tableColumn id="57" xr3:uid="{322D9A26-2AE3-4151-B3BC-9CCF8DA7E574}" name="KUVC rest. à emporter fixées            "/>
    <tableColumn id="58" xr3:uid="{319E9C1C-6D17-437A-8303-E6CE5D32C46C}" name="KUVC portage domicile  fixées            "/>
    <tableColumn id="59" xr3:uid="{90341282-79AE-42C8-BEEE-2C24CDB32025}" name="KUVC bière  fixées           "/>
    <tableColumn id="60" xr3:uid="{54889E5C-49A1-4883-9E77-CCCE75085CDC}" name="KUVC cidricole  fixées            "/>
    <tableColumn id="61" xr3:uid="{35F44DC7-03D1-4CFB-BAC1-8E5B7BD269A8}" name="KUVC totales  fixées             "/>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AE533AE-8D86-481D-A765-79224F3D25BA}" name="Tableau6" displayName="Tableau6" ref="BO5:DR11" totalsRowShown="0" headerRowDxfId="44" headerRowBorderDxfId="43" tableBorderDxfId="42" headerRowCellStyle="Normal 2">
  <autoFilter ref="BO5:DR11" xr:uid="{4AE533AE-8D86-481D-A765-79224F3D25BA}"/>
  <tableColumns count="56">
    <tableColumn id="1" xr3:uid="{DAF10A44-242C-40A6-B98E-B9A305C57BC3}" name="KUVC Miel"/>
    <tableColumn id="2" xr3:uid="{ED471909-37D8-4AA9-B8F1-CE49617B6852}" name="KUVC ind. Lait.  "/>
    <tableColumn id="3" xr3:uid="{FA776FD3-B3F4-4BA1-999F-1A41B4454554}" name="KUVC fermiers"/>
    <tableColumn id="4" xr3:uid="{F00B405D-7905-40EE-A375-460505FD0565}" name="KUVC rest. à emporter"/>
    <tableColumn id="5" xr3:uid="{1806915A-800B-4C3B-9A1B-BF66DB18977E}" name="KUVC portage domicile"/>
    <tableColumn id="6" xr3:uid="{95B056AA-C7EE-48EA-BB2D-8AA861B635E0}" name="KUVC bière"/>
    <tableColumn id="7" xr3:uid="{9E4B2F44-DA1E-429D-B3EC-BB2BE4B5A3AC}" name="KUVC cidricole"/>
    <tableColumn id="8" xr3:uid="{8CB32FF4-1B73-48D4-B793-262CAFBC779C}" name="KUVC totales"/>
    <tableColumn id="9" xr3:uid="{44258812-9ABF-415A-8740-B2D122E94E1E}" name="KUVCMiel"/>
    <tableColumn id="10" xr3:uid="{428863EC-C3E3-4633-83B7-B31E10FF5A61}" name="KUVC ind. Lait. "/>
    <tableColumn id="11" xr3:uid="{8271EF4E-9FFE-4F9A-9EF0-3A61BB9B74AA}" name="KUVC fermiers "/>
    <tableColumn id="12" xr3:uid="{C6A590F2-EC93-4225-B6C8-83F43E8CEA94}" name="KUVC rest. à emporter "/>
    <tableColumn id="13" xr3:uid="{5CFF365A-327D-4CF2-8F19-AE1EABAEACC3}" name="KUVC portage domicile "/>
    <tableColumn id="14" xr3:uid="{BB37E4E4-9D82-4ECB-A283-EE6F1BA62EF4}" name="KUVC bière "/>
    <tableColumn id="15" xr3:uid="{8D40C25A-74FA-4F5C-9B5A-5EC05AED7D35}" name="KUVC cidricole "/>
    <tableColumn id="16" xr3:uid="{FD9FDDC7-EA41-4B5C-A8FE-09376A98DCE2}" name="KUVC totales "/>
    <tableColumn id="17" xr3:uid="{72BA6690-A74C-4388-8A70-D5340FD45E4B}" name="KUVCMiel "/>
    <tableColumn id="18" xr3:uid="{1071C457-F38A-4926-B991-A25803C49DB7}" name="KUVC ind. Lait.     "/>
    <tableColumn id="19" xr3:uid="{85BA9470-B36D-4787-B2BB-4F83083EEA9B}" name="KUVC fermiers   "/>
    <tableColumn id="20" xr3:uid="{E04C9DEB-6FC2-4ECC-AF60-155F68D03B3E}" name="KUVC rest. à emporter    "/>
    <tableColumn id="21" xr3:uid="{972BBD12-BA5D-4512-B8F7-74A9F5EC6798}" name="KUVC portage domicile    "/>
    <tableColumn id="22" xr3:uid="{BA800864-669D-45DB-A188-21BE94A7ED1C}" name="KUVC bière    "/>
    <tableColumn id="23" xr3:uid="{267F1576-942B-40DD-9F76-FD1CF6C05A21}" name="KUVC cidricole    "/>
    <tableColumn id="24" xr3:uid="{E4023B4F-55DB-496A-9D96-4E2C721E8DDD}" name="KUVC totales    "/>
    <tableColumn id="25" xr3:uid="{B6080F06-6AC4-4E56-8275-77EED15891B3}" name="KUVC Miel     "/>
    <tableColumn id="26" xr3:uid="{3F5625EC-84E8-41A3-BCF7-E273EC31C4E1}" name="KUVC ind. Lait.         "/>
    <tableColumn id="27" xr3:uid="{7E8EA9B4-48EE-4BD0-9735-6677DE57D4D9}" name="KUVC fermiers     "/>
    <tableColumn id="28" xr3:uid="{C11A6AB5-7173-4618-9218-DDFF35AA53E1}" name="KUVC rest. à emporter      "/>
    <tableColumn id="29" xr3:uid="{0EC298BD-B1FD-4011-9E20-58319BE75EEB}" name="KUVC portage domicile     "/>
    <tableColumn id="30" xr3:uid="{219FFD61-64F6-40E0-B916-EEFFD6B06ABA}" name="KUVC bière      "/>
    <tableColumn id="31" xr3:uid="{24492F12-FA89-43E7-B204-0DABD99C6B96}" name="KUVC cidricole     "/>
    <tableColumn id="32" xr3:uid="{9B0C7B21-21FA-4372-9B0E-2B8556812662}" name="KUVC totales   "/>
    <tableColumn id="33" xr3:uid="{D34AF724-FC26-4B71-BAE2-5ACC4BEEE53A}" name="KUVC Miel   "/>
    <tableColumn id="34" xr3:uid="{99564D18-3CC5-47A2-8D5C-81451200692D}" name="KUVC ind. Lait.       "/>
    <tableColumn id="35" xr3:uid="{D3C40C73-DF2C-43CA-A4AE-1B3C5938863D}" name="KUVC fermiers    "/>
    <tableColumn id="36" xr3:uid="{7F0338A9-AB54-42E7-B671-CC716877ECE6}" name="KUVC rest. à emporter         "/>
    <tableColumn id="37" xr3:uid="{CF3D7EEA-8D8D-47F5-BC04-A6E42D0ABBB1}" name="KUVC portage domicile       "/>
    <tableColumn id="38" xr3:uid="{7FB103FC-C64D-4870-B70D-9CDCD5806524}" name="KUVC bière         "/>
    <tableColumn id="39" xr3:uid="{AC99B7E5-C32D-4E3D-9D06-5CD8A9634B56}" name="KUVC cidricole      "/>
    <tableColumn id="40" xr3:uid="{4463510F-3382-4E49-A2A6-CB9F872696A0}" name="KUVC totales       "/>
    <tableColumn id="41" xr3:uid="{49CFB36D-7571-4CE1-AD12-EC9A5C462970}" name="KUVC Miel       "/>
    <tableColumn id="42" xr3:uid="{56ABF27F-59BE-4C8A-AFE4-D364F4320593}" name="KUVC ind. Lait.          "/>
    <tableColumn id="43" xr3:uid="{2205CD02-1C52-4EBB-81AA-958537C857C8}" name="KUVC fermiers        "/>
    <tableColumn id="44" xr3:uid="{46E8C83E-F428-4D56-9854-FE29CDF6F987}" name="KUVC rest. à emporter        "/>
    <tableColumn id="45" xr3:uid="{7E3DB35B-97FD-4937-A3CC-3F369800C803}" name="KUVC portage domicile        "/>
    <tableColumn id="46" xr3:uid="{32FF7723-EB53-491F-9CF6-F8850923A476}" name="KUVC bière        "/>
    <tableColumn id="47" xr3:uid="{138C01D7-8466-4668-8729-430C693293DC}" name="KUVC cidricole        "/>
    <tableColumn id="48" xr3:uid="{F8F0769F-A9F6-46BC-B3B0-5D46164535F1}" name="KUVC totales         "/>
    <tableColumn id="49" xr3:uid="{E662D48B-F903-4C7D-BB07-D218C3B60914}" name="KUVC Miel        "/>
    <tableColumn id="50" xr3:uid="{4CB97BAE-33B7-4283-A0DB-CD8CDDE8052F}" name="KUVC ind. Lait.             "/>
    <tableColumn id="51" xr3:uid="{671BFD11-CEC5-4EC4-970C-D6F988C9FB41}" name="KUVC fermiers           "/>
    <tableColumn id="52" xr3:uid="{1BB3B464-2EA5-4FEF-A086-D6A52EABC43A}" name="KUVC rest. à emporter           "/>
    <tableColumn id="53" xr3:uid="{34C8C4FF-31E4-4EC1-8372-BE6BA92D977B}" name="KUVC portage domicile           "/>
    <tableColumn id="54" xr3:uid="{DED99B2F-B92F-4C83-B88A-7080FDE6CD8F}" name="KUVC bière           "/>
    <tableColumn id="55" xr3:uid="{7C161182-ED1C-490E-8AF7-2A72669C02C4}" name="KUVC cidricole           "/>
    <tableColumn id="56" xr3:uid="{37053E34-2C29-446A-BE66-9149B975D838}" name="KUVC totales           "/>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177091F-3000-47D4-886D-C71476BD338B}" name="Tableau5" displayName="Tableau5" ref="A4:K76" totalsRowShown="0">
  <autoFilter ref="A4:K76" xr:uid="{7177091F-3000-47D4-886D-C71476BD338B}"/>
  <sortState xmlns:xlrd2="http://schemas.microsoft.com/office/spreadsheetml/2017/richdata2" ref="A5:K76">
    <sortCondition ref="C5:C76"/>
    <sortCondition ref="B5:B76"/>
    <sortCondition ref="A5:A76"/>
  </sortState>
  <tableColumns count="11">
    <tableColumn id="1" xr3:uid="{34DAFF7D-91EF-41AC-8EED-85054B11D3D5}" name="référence "/>
    <tableColumn id="2" xr3:uid="{637384E3-88C1-4472-B125-7B3758A566D9}" name="Arrondissement"/>
    <tableColumn id="3" xr3:uid="{2ADF18A7-28A2-453F-A881-D9884A61240E}" name="Département"/>
    <tableColumn id="4" xr3:uid="{EF1C1A1A-E51E-4BE2-857F-F9341FE61444}" name="référence"/>
    <tableColumn id="5" xr3:uid="{9E275A18-D0A3-4E28-8DC9-F05CE59159B1}" name="Libellé"/>
    <tableColumn id="6" xr3:uid="{9C3C6E83-2A61-42F0-8ABF-E9A8EA11C0AA}" name="Code"/>
    <tableColumn id="8" xr3:uid="{3C85E0AF-FBBB-4568-AC67-5EFE7761E73A}" name="pop 2020 Insee"/>
    <tableColumn id="9" xr3:uid="{41C22BDF-5320-4451-8F66-628C6075EC15}" name="total exploitants AGRICOLES "/>
    <tableColumn id="10" xr3:uid="{3AC2CB88-87F2-4966-936F-CF433DB6EF37}" name="Part des exploitations vendant en circuit court en 2020"/>
    <tableColumn id="11" xr3:uid="{FE0508A0-1FB9-49BF-900A-3B1745BC5DFB}" name="kg/hab.INSEE"/>
    <tableColumn id="12" xr3:uid="{773B2942-6181-4FAC-94D4-F7223194D800}" name="kg/hab.DGF"/>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A8B414C-C4E6-4F84-8D82-C040646F540C}" name="Tableau15" displayName="Tableau15" ref="D6:R23" totalsRowShown="0" headerRowDxfId="41" headerRowCellStyle="Normal 2" dataCellStyle="Normal 2">
  <autoFilter ref="D6:R23" xr:uid="{3A8B414C-C4E6-4F84-8D82-C040646F540C}"/>
  <tableColumns count="15">
    <tableColumn id="1" xr3:uid="{B27E4F74-7183-4C09-97A5-C0E8A2C26866}" name="Code région" dataDxfId="40" dataCellStyle="Normal 2"/>
    <tableColumn id="2" xr3:uid="{1A3349A1-450B-4FD6-AD6C-393A147C9032}" name="Nom de la région" dataDxfId="39" dataCellStyle="Normal 2"/>
    <tableColumn id="3" xr3:uid="{052B1E12-EA8B-4F07-84C3-F3D925B4A3DF}" name="Code département" dataDxfId="38" dataCellStyle="Normal 2"/>
    <tableColumn id="4" xr3:uid="{3F30C749-115F-4475-942A-0FD7BC217D66}" name="Nom du département" dataDxfId="37" dataCellStyle="Normal 2"/>
    <tableColumn id="5" xr3:uid="{101DF3CE-AC0B-4FCF-B71B-14B128799D3E}" name="Code arrondissement" dataDxfId="36" dataCellStyle="Normal 2"/>
    <tableColumn id="6" xr3:uid="{19CB79E3-C9BC-4917-B832-46529039D4A1}" name="Nom de l'arrondissement" dataDxfId="35" dataCellStyle="Normal 2"/>
    <tableColumn id="7" xr3:uid="{9DFED6A4-C221-48AF-8BD1-0E1243F51D19}" name="Nombre de communes" dataDxfId="34" dataCellStyle="Normal 2"/>
    <tableColumn id="8" xr3:uid="{FA4743A9-CD6B-48F4-9CE5-A11AE899FCFA}" name="Population municipale" dataDxfId="33" dataCellStyle="Normal 2"/>
    <tableColumn id="9" xr3:uid="{FF39D186-81A3-4C3C-8BB5-15AB5D716851}" name="Population totale" dataDxfId="32" dataCellStyle="Normal 2"/>
    <tableColumn id="10" xr3:uid="{56F0C853-8E31-42AF-9DBA-7D68B461F8D7}" name="Indice Poids vente à emporter " dataCellStyle="Normal 2"/>
    <tableColumn id="11" xr3:uid="{82DEEC06-2CA6-4C69-90F0-1D2C9163486D}" name="Population corrigée poids vente à emporter " dataCellStyle="Normal 2">
      <calculatedColumnFormula>L7*M7</calculatedColumnFormula>
    </tableColumn>
    <tableColumn id="12" xr3:uid="{5A886E8E-9F2F-471F-B184-30F272473060}" name="Part totale" dataCellStyle="Normal 2">
      <calculatedColumnFormula>N7/$N$25</calculatedColumnFormula>
    </tableColumn>
    <tableColumn id="13" xr3:uid="{02407C1E-1AFB-4EB3-A8F8-F89AC17A394E}" name="Repas à emporter en millions par an" dataDxfId="31" dataCellStyle="Normal 2">
      <calculatedColumnFormula>$O$26*O7</calculatedColumnFormula>
    </tableColumn>
    <tableColumn id="14" xr3:uid="{125B26EF-76CC-4937-BA70-723D64E67738}" name="Equivalent UVC repas complet " dataDxfId="30" dataCellStyle="Normal 2">
      <calculatedColumnFormula>P7</calculatedColumnFormula>
    </tableColumn>
    <tableColumn id="15" xr3:uid="{09AAECCA-0A98-4AFE-97DA-699A8DFD9E3A}" name="KUVC totales (3bq par repas)" dataDxfId="29" dataCellStyle="Normal 2">
      <calculatedColumnFormula>Q7*1000*3</calculatedColumnFormula>
    </tableColumn>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93783A3-CCF6-4D1E-B688-7114C8F99645}" name="Tableau1" displayName="Tableau1" ref="X42:AD45" totalsRowShown="0" headerRowDxfId="28" headerRowBorderDxfId="27" tableBorderDxfId="26" totalsRowBorderDxfId="25">
  <autoFilter ref="X42:AD45" xr:uid="{5DC21600-A34F-40E9-B03C-3096CE913C6B}"/>
  <tableColumns count="7">
    <tableColumn id="1" xr3:uid="{A0902789-AF8F-42D0-B483-D38310C836BB}" name="Colonne1" dataDxfId="24"/>
    <tableColumn id="2" xr3:uid="{0D68EC49-5E4B-4070-8A1E-5A3953A8CF12}" name="Colonne2" dataDxfId="23" dataCellStyle="Normal 2"/>
    <tableColumn id="3" xr3:uid="{C47B8F9B-D4DC-4602-92A4-12CF4B463CC9}" name="Colonne3" dataDxfId="22" dataCellStyle="Normal 2"/>
    <tableColumn id="4" xr3:uid="{6D331D73-EBE1-4D5B-805C-BA890C1BF5F0}" name="Colonne4" dataDxfId="21" dataCellStyle="Normal 2"/>
    <tableColumn id="5" xr3:uid="{A6390100-3BC2-4C25-BD87-0863D5763C12}" name="Colonne5" dataDxfId="20" dataCellStyle="Normal 2"/>
    <tableColumn id="6" xr3:uid="{6BA6A4B2-B836-4525-A5BF-9D577C986E2E}" name="Colonne6" dataDxfId="19" dataCellStyle="Normal 2"/>
    <tableColumn id="7" xr3:uid="{40406D13-25E5-43B9-BE60-648A0F778E83}" name="Colonne7" dataDxfId="18" dataCellStyle="Normal 2"/>
  </tableColumns>
  <tableStyleInfo name="TableStyleLight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150A841-BAB0-4949-B20C-C7F3C14D7B35}" name="Tableau2" displayName="Tableau2" ref="E32:I50" totalsRowShown="0" headerRowDxfId="17" headerRowBorderDxfId="16" tableBorderDxfId="15" totalsRowBorderDxfId="14">
  <autoFilter ref="E32:I50" xr:uid="{D5F0E5A1-A898-43F0-9C5A-FABCA6A77DAA}"/>
  <tableColumns count="5">
    <tableColumn id="1" xr3:uid="{A518EEEF-EAB2-4576-BC1B-5E30A0012E79}" name="Type de produit" dataDxfId="13"/>
    <tableColumn id="2" xr3:uid="{6C8B2409-C4E3-4DB7-9F11-10DDABDD8187}" name="UVC Nationales " dataDxfId="12"/>
    <tableColumn id="3" xr3:uid="{FE2D3745-149C-4536-85A2-D2053B32563D}" name="UVC Normandie " dataDxfId="11"/>
    <tableColumn id="4" xr3:uid="{880026C7-F6D2-47B0-A6AC-C543E29B86F2}" name="UVC à domicile (86% des repas)" dataDxfId="10"/>
    <tableColumn id="5" xr3:uid="{B5399F9C-299B-4CA9-8840-1EAE97AF0397}" name="UVC Verre à domicile " dataDxfId="9"/>
  </tableColumns>
  <tableStyleInfo name="TableStyleLight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FCE0292-5543-4233-BEB7-65B1B2CA160F}" name="Tableau24" displayName="Tableau24" ref="AF29:AJ46" totalsRowShown="0" headerRowDxfId="8" headerRowBorderDxfId="7" tableBorderDxfId="6" totalsRowBorderDxfId="5">
  <autoFilter ref="AF29:AJ46" xr:uid="{40B529E6-136A-404E-AA12-C5E173380F5C}"/>
  <tableColumns count="5">
    <tableColumn id="1" xr3:uid="{895B9C9E-725E-4526-B9CF-A7A2D99AE8C1}" name="Type de produit" dataDxfId="4"/>
    <tableColumn id="2" xr3:uid="{CDA09A23-C23C-4FA2-B4C3-1D1E9BDD6618}" name="UVC Nationales " dataDxfId="3"/>
    <tableColumn id="3" xr3:uid="{C53A50E5-2D08-4D46-9B1F-D22BC6EDC7B5}" name="UVC Normandie " dataDxfId="2"/>
    <tableColumn id="4" xr3:uid="{8C802388-B06A-47F9-BFC1-A9C19CD71F64}" name="UVC à domicile (86% des repas)" dataDxfId="1"/>
    <tableColumn id="5" xr3:uid="{EC406E34-0044-4F1F-9355-58BE55481BB4}" name="UVC Verre à domicile " dataDxfId="0"/>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0309AF6-664F-40CF-9F6D-3D5835C67890}" name="Tableau8" displayName="Tableau8" ref="A4:M76" totalsRowCount="1" headerRowDxfId="92" tableBorderDxfId="91" headerRowCellStyle="Normal 2">
  <autoFilter ref="A4:M75" xr:uid="{20309AF6-664F-40CF-9F6D-3D5835C67890}"/>
  <sortState xmlns:xlrd2="http://schemas.microsoft.com/office/spreadsheetml/2017/richdata2" ref="A5:M75">
    <sortCondition ref="C5:C75"/>
    <sortCondition ref="B5:B75"/>
    <sortCondition ref="A5:A75"/>
  </sortState>
  <tableColumns count="13">
    <tableColumn id="1" xr3:uid="{3D5F514B-D339-4003-BB13-1C0AF4C34966}" name="référence "/>
    <tableColumn id="2" xr3:uid="{6F4AF45F-8F6B-454C-BF18-499F5CA99251}" name="Arrondissement"/>
    <tableColumn id="3" xr3:uid="{CEAB6673-DA1D-4DCA-AC30-83F9EBCE27E6}" name="Département"/>
    <tableColumn id="4" xr3:uid="{78773F45-D95B-40A2-BCE1-3D9120543ED9}" name="Libellé"/>
    <tableColumn id="5" xr3:uid="{9EB0A687-749F-46C9-ABC1-BE891FC75CCF}" name="Code"/>
    <tableColumn id="6" xr3:uid="{7D53F24D-F9A1-448F-BFEC-708680BA5876}" name="population 2020"/>
    <tableColumn id="7" xr3:uid="{EC9DAE1E-1A31-4C29-8E7A-28B5BEEC1936}" name="densité de population 2020"/>
    <tableColumn id="8" xr3:uid="{2C6974D1-7B6A-41D6-A7F1-DEEA149E8DBC}" name="Indice vente à empoter (de 0,2 à 1)">
      <calculatedColumnFormula>(G5*(0.8/733))+(0.2 -17*(0.8/733))</calculatedColumnFormula>
    </tableColumn>
    <tableColumn id="9" xr3:uid="{3A4AA65F-60B4-4E46-B25F-68B84A33EE00}" name="Facteur indice x population (distribution d'un facteur 1 à 5 dans la part de vente à emporter selon densité en habitant de l'EPCI)" totalsRowFunction="custom">
      <calculatedColumnFormula>H5*F5</calculatedColumnFormula>
      <totalsRowFormula>SUM(I5:I75)</totalsRowFormula>
    </tableColumn>
    <tableColumn id="10" xr3:uid="{8F853514-F421-414D-BB14-D4323A2AE7E4}" name="Fraction du total" totalsRowFunction="custom">
      <calculatedColumnFormula>I5/$I$76</calculatedColumnFormula>
      <totalsRowFormula>SUM(J5:J75)</totalsRowFormula>
    </tableColumn>
    <tableColumn id="11" xr3:uid="{C74CD906-F68D-4D83-B505-FE1754889F18}" name="Nombre de repas à emporter (millions/an)" totalsRowFunction="custom">
      <calculatedColumnFormula>J5*$K$80</calculatedColumnFormula>
      <totalsRowFormula>SUM(K5:K75)</totalsRowFormula>
    </tableColumn>
    <tableColumn id="12" xr3:uid="{81040291-DA9D-4A96-BE5F-82F5296D5FC5}" name="Millions UVC totales (3 UVC par repas)" totalsRowFunction="custom">
      <calculatedColumnFormula>K5*3</calculatedColumnFormula>
      <totalsRowFormula>SUM(L5:L75)</totalsRowFormula>
    </tableColumn>
    <tableColumn id="13" xr3:uid="{A51758B1-1A4E-4730-B6FE-7F811F51C9DE}" name="KUVC totales (3 UVC par repas)" totalsRowFunction="custom">
      <calculatedColumnFormula>L5*1000</calculatedColumnFormula>
      <totalsRowFormula>SUM(M5:M75)</totalsRowFormula>
    </tableColumn>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B5771B8-D82D-4450-BBA8-662320EDBE80}" name="Tableau7" displayName="Tableau7" ref="A4:H76" totalsRowCount="1" headerRowDxfId="90" headerRowBorderDxfId="89" tableBorderDxfId="88" headerRowCellStyle="Normal 2">
  <autoFilter ref="A4:H75" xr:uid="{BB5771B8-D82D-4450-BBA8-662320EDBE80}"/>
  <sortState xmlns:xlrd2="http://schemas.microsoft.com/office/spreadsheetml/2017/richdata2" ref="A5:H75">
    <sortCondition ref="C5:C75"/>
    <sortCondition ref="B5:B75"/>
    <sortCondition ref="A5:A75"/>
  </sortState>
  <tableColumns count="8">
    <tableColumn id="1" xr3:uid="{ACBA7BD1-5CA7-4487-B17B-85265C44DDAF}" name="référence "/>
    <tableColumn id="2" xr3:uid="{FE162275-CCF8-4DA1-BE2B-2BA2D6954D5F}" name="Arrondissement"/>
    <tableColumn id="3" xr3:uid="{F7D7434C-9414-4984-8F14-CF4129949A44}" name="Département"/>
    <tableColumn id="4" xr3:uid="{9A4AD350-BB79-4057-A659-86F7BE84E76E}" name="Libellé"/>
    <tableColumn id="5" xr3:uid="{C6B3370D-8449-4BB6-AD68-0322CDE947A5}" name="Code"/>
    <tableColumn id="6" xr3:uid="{777BE614-4141-47BB-BCC7-5B354FC96091}" name="Demande KUVC (tous confondus)" totalsRowFunction="custom">
      <totalsRowFormula>SUM(F5:F75)</totalsRowFormula>
    </tableColumn>
    <tableColumn id="7" xr3:uid="{09E64433-8507-413F-B2F3-BE7D66967FF8}" name="Kilo UVC loi AGEC 2026 (5%)" totalsRowFunction="custom">
      <calculatedColumnFormula>F5*0.05</calculatedColumnFormula>
      <totalsRowFormula>SUM(G5:G75)</totalsRowFormula>
    </tableColumn>
    <tableColumn id="8" xr3:uid="{0F9AE197-8B71-4845-8A38-B575C6B8A646}" name="Kilo UVC loi AGEC 2027 (10 %)" totalsRowFunction="custom">
      <calculatedColumnFormula>F5*0.1</calculatedColumnFormula>
      <totalsRowFormula>SUM(H5:H75)</totalsRowFormula>
    </tableColumn>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F42196FE-9374-478A-853C-19B691EC9A6B}" name="Tableau117" displayName="Tableau117" ref="O4:U7" totalsRowShown="0" headerRowDxfId="87" headerRowBorderDxfId="86" tableBorderDxfId="85" totalsRowBorderDxfId="84" headerRowCellStyle="Normal 2">
  <autoFilter ref="O4:U7" xr:uid="{F42196FE-9374-478A-853C-19B691EC9A6B}"/>
  <tableColumns count="7">
    <tableColumn id="1" xr3:uid="{90FB320A-661D-4B56-9A9B-58204A8D17AF}" name="Colonne1" dataDxfId="83"/>
    <tableColumn id="2" xr3:uid="{9E4611FB-3345-40FA-90F0-128A0FA690E4}" name="Bouteilles de 33cl" dataDxfId="82"/>
    <tableColumn id="3" xr3:uid="{9487EE80-1D32-4E8D-B5C7-C7674D0BFA3F}" name="Bouteilles de 75cl" dataDxfId="81"/>
    <tableColumn id="4" xr3:uid="{68AB22D1-0CB1-41D1-853A-23B638DA8877}" name="Fûts inox (20l)" dataDxfId="80"/>
    <tableColumn id="5" xr3:uid="{8B007210-6B6C-4E1D-A008-38F3372DE72E}" name="Fûts plastique (20 l)" dataDxfId="79"/>
    <tableColumn id="6" xr3:uid="{8A5CD4A1-4DFA-4EC3-9FC0-F468B94FB9C6}" name="Autres (métal, 50cl…)" dataDxfId="78"/>
    <tableColumn id="7" xr3:uid="{C8877C56-6DDB-4290-895A-CD44CD54BCD2}" name="Total" dataDxfId="77"/>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D0B526D-77EC-429F-B760-B6C57E0E3423}" name="Tableau10" displayName="Tableau10" ref="A5:M76" totalsRowShown="0" headerRowDxfId="76" headerRowBorderDxfId="75">
  <autoFilter ref="A5:M76" xr:uid="{0D0B526D-77EC-429F-B760-B6C57E0E3423}"/>
  <sortState xmlns:xlrd2="http://schemas.microsoft.com/office/spreadsheetml/2017/richdata2" ref="A6:M76">
    <sortCondition ref="C6:C76"/>
    <sortCondition ref="B6:B76"/>
    <sortCondition ref="A6:A76"/>
  </sortState>
  <tableColumns count="13">
    <tableColumn id="1" xr3:uid="{555BDB93-66E5-400A-9EEB-A8C51185A200}" name="référence"/>
    <tableColumn id="2" xr3:uid="{193AD0A0-336A-4129-B7CB-FE91D34A85E1}" name="Arrondissement"/>
    <tableColumn id="3" xr3:uid="{A89347E2-5754-44B6-97DF-FEA3C431A1AA}" name="Département"/>
    <tableColumn id="5" xr3:uid="{7D576B04-BC19-47E7-80C1-171752DC9B48}" name="Libellé"/>
    <tableColumn id="6" xr3:uid="{9552D06C-126C-4850-BA8F-694F358F9DB9}" name="Code"/>
    <tableColumn id="7" xr3:uid="{77A1A5D3-B321-4A7B-B98E-555AA876F82C}" name="total exploitants"/>
    <tableColumn id="8" xr3:uid="{F13C78B6-5BCE-4DFE-B1E6-0C7B087F3FFC}" name="Part en cc" dataDxfId="74"/>
    <tableColumn id="9" xr3:uid="{9EAC608A-F540-4C80-AE7C-F5ED87B5FEF4}" name="Total en CC"/>
    <tableColumn id="10" xr3:uid="{B6FCE6DA-17BD-4ABD-9A21-F22AB4EDC089}" name="Part gisement total "/>
    <tableColumn id="11" xr3:uid="{DA214FD4-E310-42B9-B629-43EED6FC8EC2}" name="UVC totales fermiers"/>
    <tableColumn id="12" xr3:uid="{526A7180-4324-4CA4-AFA6-6EB09E2809ED}" name="KiloUVC totales "/>
    <tableColumn id="13" xr3:uid="{C3992E1C-0988-4325-9E85-E155946C8741}" name="Kilo UVC loi AGEC 2026 (5%)"/>
    <tableColumn id="14" xr3:uid="{439C8715-E272-4113-A89A-27B4C27111F2}" name="Kilo UVC loi AGEC 2027 (10 %)"/>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724F290-124A-403F-B120-715A4B9504EB}" name="Tableau11" displayName="Tableau11" ref="A4:J76" totalsRowCount="1" headerRowDxfId="73" headerRowCellStyle="Normal 2">
  <autoFilter ref="A4:J75" xr:uid="{5724F290-124A-403F-B120-715A4B9504EB}"/>
  <sortState xmlns:xlrd2="http://schemas.microsoft.com/office/spreadsheetml/2017/richdata2" ref="A5:J75">
    <sortCondition ref="C5:C75"/>
    <sortCondition ref="B5:B75"/>
    <sortCondition ref="A5:A75"/>
  </sortState>
  <tableColumns count="10">
    <tableColumn id="1" xr3:uid="{2CFF5D4D-957C-42C5-9D66-C56F9BA952D4}" name="référence "/>
    <tableColumn id="2" xr3:uid="{807AC1EC-DC6E-4629-991F-5D27DE8439BE}" name="Arrondissement"/>
    <tableColumn id="3" xr3:uid="{B578879E-3994-4540-9991-28ECB155C849}" name="Département"/>
    <tableColumn id="4" xr3:uid="{10333927-1FC6-4A68-935A-E33F3B3DB0B4}" name="Libellé"/>
    <tableColumn id="5" xr3:uid="{71BDBC82-9994-418A-B81A-C1A690F5ACEE}" name="Code"/>
    <tableColumn id="6" xr3:uid="{BA32FEC5-82E3-433A-94F8-D1943485173D}" name="UVC yaourt" totalsRowFunction="custom">
      <totalsRowFormula>SUM(Tableau11[UVC yaourt])</totalsRowFormula>
    </tableColumn>
    <tableColumn id="7" xr3:uid="{515FC996-3088-4E25-8E0A-F4BB35BE75F0}" name="UVC crème " totalsRowFunction="custom">
      <totalsRowFormula>SUM(Tableau11[[UVC crème ]])</totalsRowFormula>
    </tableColumn>
    <tableColumn id="8" xr3:uid="{6219317C-5C12-4E3B-94BA-B31DDAFB8573}" name="UVC Ffrais 360g" totalsRowFunction="custom">
      <totalsRowFormula>SUM(Tableau11[UVC Ffrais 360g])</totalsRowFormula>
    </tableColumn>
    <tableColumn id="9" xr3:uid="{AB1B14C3-AE43-4020-966B-516EF96A88C1}" name="UVC fromage" totalsRowFunction="custom">
      <totalsRowFormula>SUM(Tableau11[UVC fromage])</totalsRowFormula>
    </tableColumn>
    <tableColumn id="10" xr3:uid="{FB047CD2-60EE-4FD5-B934-2E261A87F6C0}" name="KUVC total " totalsRowFunction="custom">
      <totalsRowFormula>SUM(Tableau11[[KUVC total ]])</totalsRowFormula>
    </tableColumn>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9DF224C-3659-40F9-82EA-D9997C467D69}" name="Tableau12" displayName="Tableau12" ref="A4:L77" totalsRowShown="0" headerRowDxfId="72" headerRowCellStyle="Normal 2">
  <autoFilter ref="A4:L77" xr:uid="{79DF224C-3659-40F9-82EA-D9997C467D69}"/>
  <sortState xmlns:xlrd2="http://schemas.microsoft.com/office/spreadsheetml/2017/richdata2" ref="A5:L77">
    <sortCondition ref="C5:C76"/>
    <sortCondition ref="B5:B76"/>
    <sortCondition ref="A5:A76"/>
  </sortState>
  <tableColumns count="12">
    <tableColumn id="1" xr3:uid="{9EE28708-E79F-4A7E-8019-870239130CBE}" name="référence "/>
    <tableColumn id="2" xr3:uid="{7453CE10-7FEA-4D6E-B223-DD6CA80E5E4B}" name="Arrondissement"/>
    <tableColumn id="3" xr3:uid="{0DCFCC07-FF69-4364-B978-525B03C26D53}" name="Département"/>
    <tableColumn id="4" xr3:uid="{626F0648-4B1C-413A-A625-A1EBFB26B1B9}" name="Libellé"/>
    <tableColumn id="5" xr3:uid="{ADE3D1EB-72AE-46EA-BC52-794376C7B71A}" name="Code"/>
    <tableColumn id="6" xr3:uid="{D977142B-5961-4672-8AE3-E2EF61C04300}" name="Production en KUVC"/>
    <tableColumn id="7" xr3:uid="{B65B3412-78AA-431E-BA67-604D9B63B920}" name="Kilo UVC loi AGEC 2023"/>
    <tableColumn id="8" xr3:uid="{E32F2FEB-EDC8-4FE3-B61E-537E60EA05A4}" name="Kilo UVC loi AGEC 2024"/>
    <tableColumn id="9" xr3:uid="{82589430-E314-4396-8A30-BAE938EB4FAA}" name="Kilo UVC loi AGEC 2025"/>
    <tableColumn id="10" xr3:uid="{632D5562-9569-492D-9A3D-4CE0AF01BC39}" name="Kilo UVC loi AGEC 2026 (5%)"/>
    <tableColumn id="11" xr3:uid="{1F0FC231-6DB3-493A-B7DC-7B87638FA920}" name="Kilo UVC loi AGEC 2027 (10 %)"/>
    <tableColumn id="12" xr3:uid="{F96D2E70-1B66-49ED-AB74-26BCA9099505}" name="Kilo UVC loi AGEC 2027 petits-producteurs"/>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EA24C71D-4D0C-44AF-8963-D913F1C9530C}" name="Tableau13" displayName="Tableau13" ref="A4:I77" totalsRowShown="0" headerRowDxfId="71" headerRowBorderDxfId="70" headerRowCellStyle="Normal 2">
  <autoFilter ref="A4:I77" xr:uid="{EA24C71D-4D0C-44AF-8963-D913F1C9530C}"/>
  <sortState xmlns:xlrd2="http://schemas.microsoft.com/office/spreadsheetml/2017/richdata2" ref="A5:I77">
    <sortCondition ref="C5:C77"/>
    <sortCondition ref="B5:B77"/>
    <sortCondition ref="A5:A77"/>
  </sortState>
  <tableColumns count="9">
    <tableColumn id="1" xr3:uid="{B9010F2F-7F9B-4704-A284-F7796BB9E356}" name="référence "/>
    <tableColumn id="2" xr3:uid="{88F66FCB-CC9C-4436-8E64-F17DA0C4D90E}" name="Arrondissement"/>
    <tableColumn id="3" xr3:uid="{9A23411C-6645-42FA-B3C1-FD1C3BFB77C3}" name="Département"/>
    <tableColumn id="4" xr3:uid="{C435CF0C-7E69-47C7-AED0-503CC08EDC4D}" name="Libellé"/>
    <tableColumn id="5" xr3:uid="{20A545E5-0586-4629-94EB-A876DF84D6E3}" name="Code"/>
    <tableColumn id="6" xr3:uid="{BB600779-D602-4B92-937C-1E9D375D058E}" name="Population des 75 ans ou plus 2019"/>
    <tableColumn id="7" xr3:uid="{E0B2622E-64D9-42ED-8BFD-B2DCC8A7E2F2}" name="Facteur "/>
    <tableColumn id="8" xr3:uid="{A873E450-CE9E-4073-98C8-8E91F33131C5}" name="Total repas/an"/>
    <tableColumn id="9" xr3:uid="{4425A620-4E31-4F1F-BF80-FC48BBE892C1}" name="Total KUVC (3 économat par repas)"/>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8AE4A11-72F1-44F5-B59A-CCB756BFAE4A}" name="Tableau14" displayName="Tableau14" ref="A4:Z75" totalsRowShown="0" headerRowDxfId="69" headerRowBorderDxfId="68" headerRowCellStyle="Normal 2">
  <autoFilter ref="A4:Z75" xr:uid="{78AE4A11-72F1-44F5-B59A-CCB756BFAE4A}"/>
  <sortState xmlns:xlrd2="http://schemas.microsoft.com/office/spreadsheetml/2017/richdata2" ref="A5:Z75">
    <sortCondition ref="C5:C75"/>
    <sortCondition ref="B5:B75"/>
    <sortCondition ref="A5:A75"/>
  </sortState>
  <tableColumns count="26">
    <tableColumn id="1" xr3:uid="{A036B161-E4E1-410F-99A0-29990886A22C}" name="référence "/>
    <tableColumn id="2" xr3:uid="{2AE73AA4-DB5B-45D9-A860-B9865BAA62CF}" name="Arrondissement"/>
    <tableColumn id="3" xr3:uid="{8E0B024D-A90A-4669-9090-3392477B317F}" name="Département"/>
    <tableColumn id="4" xr3:uid="{5D2BF730-5DF7-405D-B0F7-7D6A1822C85F}" name="Libellé"/>
    <tableColumn id="5" xr3:uid="{9BFF5B16-3AF9-4E11-9F11-9F1E70EB216B}" name="Code"/>
    <tableColumn id="6" xr3:uid="{8B1D4F46-26DC-4D26-A4AD-88050D10F87C}" name="population 2020"/>
    <tableColumn id="7" xr3:uid="{D235F7AD-4717-438D-A056-6779DE6E74BD}" name="kg/hab.INSEE" dataDxfId="67"/>
    <tableColumn id="8" xr3:uid="{382F228D-C343-44FE-A74E-C16002493778}" name="kg/hab.DGF" dataDxfId="66"/>
    <tableColumn id="9" xr3:uid="{3AE0DDC8-DFFD-48E4-B719-7AEF80F32BF4}" name="Total DMA" dataDxfId="65">
      <calculatedColumnFormula>G5*F5</calculatedColumnFormula>
    </tableColumn>
    <tableColumn id="10" xr3:uid="{A684D55F-2A43-41C2-A353-75CE9C7B9318}" name="Facteur ratio">
      <calculatedColumnFormula>I5/$I$79</calculatedColumnFormula>
    </tableColumn>
    <tableColumn id="11" xr3:uid="{8496C42A-00C0-46E1-9B49-72E08D6A1F22}" name="KUVC - Cidre" dataDxfId="64">
      <calculatedColumnFormula>$J5*K$79*1000</calculatedColumnFormula>
    </tableColumn>
    <tableColumn id="12" xr3:uid="{8B37BADB-5F44-4CD4-8751-70F9C04A2D68}" name="KUVC - Bière, panaché" dataDxfId="63">
      <calculatedColumnFormula>$J5*L$79*1000</calculatedColumnFormula>
    </tableColumn>
    <tableColumn id="13" xr3:uid="{810C61A0-FFDE-4D8A-A084-642FD3AF61F5}" name="KUVC - Champagne / Mousseux" dataDxfId="62">
      <calculatedColumnFormula>$J5*M$79*1000</calculatedColumnFormula>
    </tableColumn>
    <tableColumn id="14" xr3:uid="{82499157-514D-4544-8C7C-4A16861A3DC3}" name="KUVC - Jus / Nectar" dataDxfId="61">
      <calculatedColumnFormula>$J5*N$79*1000</calculatedColumnFormula>
    </tableColumn>
    <tableColumn id="15" xr3:uid="{2BF4094C-31D1-4145-A6F7-86991DF541D4}" name="KUVC autres boissons sans alcool" dataDxfId="60">
      <calculatedColumnFormula>$J5*O$79*1000</calculatedColumnFormula>
    </tableColumn>
    <tableColumn id="16" xr3:uid="{F6B6DA30-B26E-4504-807E-C9C90A1CE5AD}" name="KUVC miel " dataDxfId="59">
      <calculatedColumnFormula>$J5*P$79*1000</calculatedColumnFormula>
    </tableColumn>
    <tableColumn id="18" xr3:uid="{FD8229FB-3FAB-4A65-8CAF-0A12EF2FC1F1}" name="KUVC Ind. Lait" dataDxfId="58">
      <calculatedColumnFormula>$J5*Q$79*1000</calculatedColumnFormula>
    </tableColumn>
    <tableColumn id="19" xr3:uid="{4F95E78C-725D-445F-8F80-36103388BF57}" name="KUVC fermiers" dataDxfId="57">
      <calculatedColumnFormula>$J5*R$79</calculatedColumnFormula>
    </tableColumn>
    <tableColumn id="29" xr3:uid="{131E533A-7221-4415-8A19-05439627A93C}" name="KUVC Cidre  (FR)" dataDxfId="56">
      <calculatedColumnFormula>Tableau14[[#This Row],[KUVC - Cidre]]*T$109</calculatedColumnFormula>
    </tableColumn>
    <tableColumn id="30" xr3:uid="{4455A518-E540-4442-BB1A-1D9C22FE6320}" name="KUVC Bière panaché (FR)" dataDxfId="55">
      <calculatedColumnFormula>Tableau14[[#This Row],[KUVC - Bière, panaché]]*U$109</calculatedColumnFormula>
    </tableColumn>
    <tableColumn id="31" xr3:uid="{19BF1CD6-82B4-4917-8E30-94C06C530BE0}" name="KUVC Champagne Mousseux  (FR)" dataDxfId="54">
      <calculatedColumnFormula>Tableau14[[#This Row],[KUVC - Champagne / Mousseux]]*V$109</calculatedColumnFormula>
    </tableColumn>
    <tableColumn id="32" xr3:uid="{989245F1-C642-4EA2-9A8E-B29227B93751}" name="KUVC Jus Nectar (FR)" dataDxfId="53">
      <calculatedColumnFormula>Tableau14[[#This Row],[KUVC - Jus / Nectar]]*W$109</calculatedColumnFormula>
    </tableColumn>
    <tableColumn id="33" xr3:uid="{0BDBAB35-E75C-4914-A1E0-839500DAC850}" name="KUVC autres boissons sans alcool (FR)" dataDxfId="52">
      <calculatedColumnFormula>Tableau14[[#This Row],[KUVC autres boissons sans alcool]]*X$109</calculatedColumnFormula>
    </tableColumn>
    <tableColumn id="34" xr3:uid="{36348AD3-9765-48C3-91F9-CD64974CADE0}" name="KUVC miel (FR)" dataDxfId="51">
      <calculatedColumnFormula>Tableau14[[#This Row],[KUVC miel ]]*Y$109</calculatedColumnFormula>
    </tableColumn>
    <tableColumn id="36" xr3:uid="{1E678355-B03B-43BC-ADEE-396BCE2DFD34}" name="KUVC Ind Lait  (FR)" dataDxfId="50">
      <calculatedColumnFormula>Tableau14[[#This Row],[KUVC Ind. Lait]]*Z$109</calculatedColumnFormula>
    </tableColumn>
    <tableColumn id="37" xr3:uid="{A0EF5D5E-CE88-4AB2-84C8-556D955E41B6}" name="KUVC fermiers  (FR)" dataDxfId="49">
      <calculatedColumnFormula>Tableau14[[#This Row],[KUVC fermiers]]*AA$109</calculatedColumnFormula>
    </tableColumn>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MS P????"/>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MS P????"/>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2.xml"/><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9.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17D7C-7C3A-471D-BFA5-0DFAC7BA788A}">
  <sheetPr codeName="Feuil1"/>
  <dimension ref="A1:W76"/>
  <sheetViews>
    <sheetView tabSelected="1" topLeftCell="G1" workbookViewId="0">
      <selection activeCell="F15" sqref="F15"/>
    </sheetView>
  </sheetViews>
  <sheetFormatPr baseColWidth="10" defaultRowHeight="15.75"/>
  <cols>
    <col min="2" max="2" width="15.125" customWidth="1"/>
    <col min="3" max="3" width="13" customWidth="1"/>
    <col min="4" max="4" width="18.625" customWidth="1"/>
    <col min="6" max="6" width="24.5" customWidth="1"/>
    <col min="7" max="7" width="21" customWidth="1"/>
    <col min="8" max="8" width="11" customWidth="1"/>
    <col min="9" max="9" width="17.5" customWidth="1"/>
    <col min="10" max="10" width="24.125" customWidth="1"/>
    <col min="11" max="11" width="25.375" customWidth="1"/>
  </cols>
  <sheetData>
    <row r="1" spans="1:23">
      <c r="D1" s="85" t="s">
        <v>649</v>
      </c>
    </row>
    <row r="3" spans="1:23">
      <c r="A3" s="134" t="s">
        <v>647</v>
      </c>
      <c r="B3" s="134"/>
      <c r="C3" s="134"/>
      <c r="D3" s="134" t="s">
        <v>153</v>
      </c>
      <c r="E3" s="134"/>
      <c r="F3" s="134" t="s">
        <v>378</v>
      </c>
      <c r="G3" s="134"/>
      <c r="H3" s="134"/>
      <c r="I3" s="134"/>
      <c r="J3" s="134"/>
      <c r="K3" s="134"/>
      <c r="N3" s="132" t="s">
        <v>587</v>
      </c>
      <c r="O3" s="133"/>
      <c r="R3" s="135" t="s">
        <v>795</v>
      </c>
      <c r="S3" s="136"/>
      <c r="T3" s="136"/>
      <c r="U3" s="136"/>
      <c r="V3" s="136"/>
      <c r="W3" s="137"/>
    </row>
    <row r="4" spans="1:23" ht="42.75" customHeight="1">
      <c r="A4" s="12" t="s">
        <v>152</v>
      </c>
      <c r="B4" s="12" t="s">
        <v>144</v>
      </c>
      <c r="C4" s="12" t="s">
        <v>145</v>
      </c>
      <c r="D4" s="12" t="s">
        <v>0</v>
      </c>
      <c r="E4" s="12" t="s">
        <v>1</v>
      </c>
      <c r="F4" s="12" t="s">
        <v>217</v>
      </c>
      <c r="G4" s="12" t="s">
        <v>216</v>
      </c>
      <c r="H4" s="12" t="s">
        <v>215</v>
      </c>
      <c r="I4" s="12" t="s">
        <v>803</v>
      </c>
      <c r="J4" s="12" t="s">
        <v>213</v>
      </c>
      <c r="K4" s="12" t="s">
        <v>212</v>
      </c>
      <c r="N4" s="12" t="s">
        <v>278</v>
      </c>
      <c r="O4" s="12" t="s">
        <v>358</v>
      </c>
      <c r="R4" s="12"/>
      <c r="S4" s="12" t="s">
        <v>168</v>
      </c>
      <c r="T4" s="12" t="s">
        <v>167</v>
      </c>
      <c r="U4" s="12" t="s">
        <v>166</v>
      </c>
      <c r="V4" s="12" t="s">
        <v>165</v>
      </c>
      <c r="W4" s="12" t="s">
        <v>164</v>
      </c>
    </row>
    <row r="5" spans="1:23">
      <c r="A5" s="106">
        <v>22</v>
      </c>
      <c r="B5" s="106">
        <v>1</v>
      </c>
      <c r="C5" s="106">
        <v>14</v>
      </c>
      <c r="D5" s="106" t="s">
        <v>44</v>
      </c>
      <c r="E5" s="106" t="s">
        <v>45</v>
      </c>
      <c r="F5" s="106">
        <f>'A-Demande-Miel'!U$7/3</f>
        <v>1142.5359324211597</v>
      </c>
      <c r="G5" s="106">
        <f>'A-Demande-Miel'!V$7/3</f>
        <v>1039.7076985032552</v>
      </c>
      <c r="H5" s="106">
        <f>'A-Demande-Miel'!W$7/3</f>
        <v>1.6252289223629582E-3</v>
      </c>
      <c r="I5" s="106">
        <f>'A-Demande-Miel'!X$7/3</f>
        <v>2.0618545757172426</v>
      </c>
      <c r="J5" s="106">
        <f>'A-Demande-Miel'!Y$7/3</f>
        <v>0.10309272878586213</v>
      </c>
      <c r="K5" s="106">
        <f>'A-Demande-Miel'!Z$7/3</f>
        <v>0.20618545757172427</v>
      </c>
      <c r="N5" s="11" t="s">
        <v>181</v>
      </c>
      <c r="O5" s="4">
        <f>SUM(I5:I20)</f>
        <v>278.35036772182775</v>
      </c>
      <c r="R5" s="11" t="s">
        <v>162</v>
      </c>
      <c r="S5" s="10">
        <v>275.08390000000003</v>
      </c>
      <c r="T5" s="10">
        <v>239.60839488351976</v>
      </c>
      <c r="U5" s="10">
        <v>241.01358978351772</v>
      </c>
      <c r="V5" s="10">
        <v>64.899606389420995</v>
      </c>
      <c r="W5" s="10">
        <v>545.52159105645853</v>
      </c>
    </row>
    <row r="6" spans="1:23">
      <c r="A6" s="94">
        <v>36</v>
      </c>
      <c r="B6" s="94">
        <v>1</v>
      </c>
      <c r="C6" s="94">
        <v>14</v>
      </c>
      <c r="D6" s="94" t="s">
        <v>72</v>
      </c>
      <c r="E6" s="94" t="s">
        <v>73</v>
      </c>
      <c r="F6" s="94">
        <f>'A-Demande-Miel'!U$7/3</f>
        <v>1142.5359324211597</v>
      </c>
      <c r="G6" s="94">
        <f>'A-Demande-Miel'!V$7/3</f>
        <v>1039.7076985032552</v>
      </c>
      <c r="H6" s="94">
        <f>'A-Demande-Miel'!W$7/3</f>
        <v>1.6252289223629582E-3</v>
      </c>
      <c r="I6" s="94">
        <f>'A-Demande-Miel'!X$7/3</f>
        <v>2.0618545757172426</v>
      </c>
      <c r="J6" s="94">
        <f>'A-Demande-Miel'!Y$7/3</f>
        <v>0.10309272878586213</v>
      </c>
      <c r="K6" s="94">
        <f>'A-Demande-Miel'!Z$7/3</f>
        <v>0.20618545757172427</v>
      </c>
      <c r="N6" s="11" t="s">
        <v>205</v>
      </c>
      <c r="O6" s="4">
        <f>SUM(I21:I33)</f>
        <v>242.1626911595786</v>
      </c>
      <c r="R6" s="11" t="s">
        <v>160</v>
      </c>
      <c r="S6" s="10">
        <v>44.781100000000009</v>
      </c>
      <c r="T6" s="10">
        <v>39.006017771735777</v>
      </c>
      <c r="U6" s="10">
        <v>39.234770429874978</v>
      </c>
      <c r="V6" s="10">
        <v>10.565052202929001</v>
      </c>
      <c r="W6" s="10">
        <v>88.805840404539765</v>
      </c>
    </row>
    <row r="7" spans="1:23">
      <c r="A7" s="94">
        <v>58</v>
      </c>
      <c r="B7" s="94">
        <v>1</v>
      </c>
      <c r="C7" s="94">
        <v>14</v>
      </c>
      <c r="D7" s="94" t="s">
        <v>116</v>
      </c>
      <c r="E7" s="94" t="s">
        <v>117</v>
      </c>
      <c r="F7" s="94">
        <f>'A-Demande-Miel'!U$7/3</f>
        <v>1142.5359324211597</v>
      </c>
      <c r="G7" s="94">
        <f>'A-Demande-Miel'!V$7/3</f>
        <v>1039.7076985032552</v>
      </c>
      <c r="H7" s="94">
        <f>'A-Demande-Miel'!W$7/3</f>
        <v>1.6252289223629582E-3</v>
      </c>
      <c r="I7" s="94">
        <f>'A-Demande-Miel'!X$7/3</f>
        <v>2.0618545757172426</v>
      </c>
      <c r="J7" s="94">
        <f>'A-Demande-Miel'!Y$7/3</f>
        <v>0.10309272878586213</v>
      </c>
      <c r="K7" s="94">
        <f>'A-Demande-Miel'!Z$7/3</f>
        <v>0.20618545757172427</v>
      </c>
      <c r="N7" s="11" t="s">
        <v>200</v>
      </c>
      <c r="O7" s="4">
        <f>SUM(I34:I40)</f>
        <v>202.88649025057674</v>
      </c>
      <c r="R7" s="11" t="s">
        <v>159</v>
      </c>
      <c r="S7" s="10">
        <v>31.986499999999999</v>
      </c>
      <c r="T7" s="10">
        <v>27.861441265525549</v>
      </c>
      <c r="U7" s="10">
        <v>28.024836021339262</v>
      </c>
      <c r="V7" s="10">
        <v>7.546465859235</v>
      </c>
      <c r="W7" s="10">
        <v>63.432743146099817</v>
      </c>
    </row>
    <row r="8" spans="1:23">
      <c r="A8" s="94">
        <v>12</v>
      </c>
      <c r="B8" s="94">
        <v>2</v>
      </c>
      <c r="C8" s="94">
        <v>14</v>
      </c>
      <c r="D8" s="94" t="s">
        <v>24</v>
      </c>
      <c r="E8" s="94" t="s">
        <v>25</v>
      </c>
      <c r="F8" s="94">
        <f>'A-Demande-Miel'!U$8/6</f>
        <v>1142.5359324211597</v>
      </c>
      <c r="G8" s="94">
        <f>'A-Demande-Miel'!V$8/6</f>
        <v>1039.7076985032552</v>
      </c>
      <c r="H8" s="94">
        <f>'A-Demande-Miel'!W$8/6</f>
        <v>1.6252289223629582E-3</v>
      </c>
      <c r="I8" s="94">
        <f>'A-Demande-Miel'!X$8/6</f>
        <v>2.0618545757172426</v>
      </c>
      <c r="J8" s="94">
        <f>'A-Demande-Miel'!Y$8/6</f>
        <v>0.10309272878586213</v>
      </c>
      <c r="K8" s="94">
        <f>'A-Demande-Miel'!Z$8/6</f>
        <v>0.20618545757172427</v>
      </c>
      <c r="N8" s="11" t="s">
        <v>272</v>
      </c>
      <c r="O8" s="4">
        <f>SUM(I41:I57)</f>
        <v>303.09262263043468</v>
      </c>
      <c r="R8" s="11" t="s">
        <v>158</v>
      </c>
      <c r="S8" s="10">
        <v>127.946</v>
      </c>
      <c r="T8" s="10">
        <v>111.4457650621022</v>
      </c>
      <c r="U8" s="10">
        <v>112.09934408535705</v>
      </c>
      <c r="V8" s="10">
        <v>30.18586343694</v>
      </c>
      <c r="W8" s="10">
        <v>253.73097258439927</v>
      </c>
    </row>
    <row r="9" spans="1:23">
      <c r="A9" s="94">
        <v>13</v>
      </c>
      <c r="B9" s="94">
        <v>2</v>
      </c>
      <c r="C9" s="94">
        <v>14</v>
      </c>
      <c r="D9" s="94" t="s">
        <v>26</v>
      </c>
      <c r="E9" s="94" t="s">
        <v>27</v>
      </c>
      <c r="F9" s="94">
        <f>'A-Demande-Miel'!U$8/6</f>
        <v>1142.5359324211597</v>
      </c>
      <c r="G9" s="94">
        <f>'A-Demande-Miel'!V$8/6</f>
        <v>1039.7076985032552</v>
      </c>
      <c r="H9" s="94">
        <f>'A-Demande-Miel'!W$8/6</f>
        <v>1.6252289223629582E-3</v>
      </c>
      <c r="I9" s="94">
        <f>'A-Demande-Miel'!X$8/6</f>
        <v>2.0618545757172426</v>
      </c>
      <c r="J9" s="94">
        <f>'A-Demande-Miel'!Y$8/6</f>
        <v>0.10309272878586213</v>
      </c>
      <c r="K9" s="94">
        <f>'A-Demande-Miel'!Z$8/6</f>
        <v>0.20618545757172427</v>
      </c>
      <c r="N9" s="11" t="s">
        <v>271</v>
      </c>
      <c r="O9" s="4">
        <f>SUM(I58:I75)</f>
        <v>242.1626911595786</v>
      </c>
      <c r="R9" s="11" t="s">
        <v>157</v>
      </c>
      <c r="S9" s="10">
        <v>38.383799999999994</v>
      </c>
      <c r="T9" s="10">
        <v>33.433729518630656</v>
      </c>
      <c r="U9" s="10">
        <v>33.62980322560712</v>
      </c>
      <c r="V9" s="10">
        <v>9.0557590310819993</v>
      </c>
      <c r="W9" s="10">
        <v>76.119291775319766</v>
      </c>
    </row>
    <row r="10" spans="1:23">
      <c r="A10" s="94">
        <v>20</v>
      </c>
      <c r="B10" s="94">
        <v>2</v>
      </c>
      <c r="C10" s="94">
        <v>14</v>
      </c>
      <c r="D10" s="94" t="s">
        <v>40</v>
      </c>
      <c r="E10" s="94" t="s">
        <v>41</v>
      </c>
      <c r="F10" s="94">
        <f>'A-Demande-Miel'!U$8/6</f>
        <v>1142.5359324211597</v>
      </c>
      <c r="G10" s="94">
        <f>'A-Demande-Miel'!V$8/6</f>
        <v>1039.7076985032552</v>
      </c>
      <c r="H10" s="94">
        <f>'A-Demande-Miel'!W$8/6</f>
        <v>1.6252289223629582E-3</v>
      </c>
      <c r="I10" s="94">
        <f>'A-Demande-Miel'!X$8/6</f>
        <v>2.0618545757172426</v>
      </c>
      <c r="J10" s="94">
        <f>'A-Demande-Miel'!Y$8/6</f>
        <v>0.10309272878586213</v>
      </c>
      <c r="K10" s="94">
        <f>'A-Demande-Miel'!Z$8/6</f>
        <v>0.20618545757172427</v>
      </c>
      <c r="N10" s="9" t="s">
        <v>230</v>
      </c>
      <c r="O10" s="4">
        <f>SUM(O5:O9)</f>
        <v>1268.6548629219965</v>
      </c>
      <c r="R10" s="11" t="s">
        <v>156</v>
      </c>
      <c r="S10" s="10">
        <v>95.959500000000006</v>
      </c>
      <c r="T10" s="10">
        <v>83.584323796576655</v>
      </c>
      <c r="U10" s="10">
        <v>84.074508064017792</v>
      </c>
      <c r="V10" s="10">
        <v>22.639397577705001</v>
      </c>
      <c r="W10" s="10">
        <v>190.29822943829947</v>
      </c>
    </row>
    <row r="11" spans="1:23">
      <c r="A11" s="94">
        <v>21</v>
      </c>
      <c r="B11" s="94">
        <v>2</v>
      </c>
      <c r="C11" s="94">
        <v>14</v>
      </c>
      <c r="D11" s="94" t="s">
        <v>42</v>
      </c>
      <c r="E11" s="94" t="s">
        <v>43</v>
      </c>
      <c r="F11" s="94">
        <f>'A-Demande-Miel'!U$8/6</f>
        <v>1142.5359324211597</v>
      </c>
      <c r="G11" s="94">
        <f>'A-Demande-Miel'!V$8/6</f>
        <v>1039.7076985032552</v>
      </c>
      <c r="H11" s="94">
        <f>'A-Demande-Miel'!W$8/6</f>
        <v>1.6252289223629582E-3</v>
      </c>
      <c r="I11" s="94">
        <f>'A-Demande-Miel'!X$8/6</f>
        <v>2.0618545757172426</v>
      </c>
      <c r="J11" s="94">
        <f>'A-Demande-Miel'!Y$8/6</f>
        <v>0.10309272878586213</v>
      </c>
      <c r="K11" s="94">
        <f>'A-Demande-Miel'!Z$8/6</f>
        <v>0.20618545757172427</v>
      </c>
      <c r="R11" s="11" t="s">
        <v>155</v>
      </c>
      <c r="S11" s="10">
        <v>25.589200000000002</v>
      </c>
      <c r="T11" s="10">
        <v>22.289153012420439</v>
      </c>
      <c r="U11" s="10">
        <v>22.419868817071407</v>
      </c>
      <c r="V11" s="10">
        <v>6.0371726873879998</v>
      </c>
      <c r="W11" s="10">
        <v>50.746194516879839</v>
      </c>
    </row>
    <row r="12" spans="1:23">
      <c r="A12" s="94">
        <v>57</v>
      </c>
      <c r="B12" s="94">
        <v>2</v>
      </c>
      <c r="C12" s="94">
        <v>14</v>
      </c>
      <c r="D12" s="94" t="s">
        <v>114</v>
      </c>
      <c r="E12" s="94" t="s">
        <v>115</v>
      </c>
      <c r="F12" s="94">
        <f>'A-Demande-Miel'!U$8/6</f>
        <v>1142.5359324211597</v>
      </c>
      <c r="G12" s="94">
        <f>'A-Demande-Miel'!V$8/6</f>
        <v>1039.7076985032552</v>
      </c>
      <c r="H12" s="94">
        <f>'A-Demande-Miel'!W$8/6</f>
        <v>1.6252289223629582E-3</v>
      </c>
      <c r="I12" s="94">
        <f>'A-Demande-Miel'!X$8/6</f>
        <v>2.0618545757172426</v>
      </c>
      <c r="J12" s="94">
        <f>'A-Demande-Miel'!Y$8/6</f>
        <v>0.10309272878586213</v>
      </c>
      <c r="K12" s="94">
        <f>'A-Demande-Miel'!Z$8/6</f>
        <v>0.20618545757172427</v>
      </c>
      <c r="R12" s="9" t="s">
        <v>154</v>
      </c>
      <c r="S12" s="8">
        <v>639.73</v>
      </c>
      <c r="T12" s="8">
        <v>557.22882531051107</v>
      </c>
      <c r="U12" s="8">
        <v>560.49672042678526</v>
      </c>
      <c r="V12" s="8">
        <v>150.92931718469998</v>
      </c>
      <c r="W12" s="8">
        <v>1268.6548629219963</v>
      </c>
    </row>
    <row r="13" spans="1:23">
      <c r="A13" s="94">
        <v>59</v>
      </c>
      <c r="B13" s="94">
        <v>2</v>
      </c>
      <c r="C13" s="94">
        <v>14</v>
      </c>
      <c r="D13" s="94" t="s">
        <v>118</v>
      </c>
      <c r="E13" s="94" t="s">
        <v>119</v>
      </c>
      <c r="F13" s="94">
        <f>'A-Demande-Miel'!U$8/6</f>
        <v>1142.5359324211597</v>
      </c>
      <c r="G13" s="94">
        <f>'A-Demande-Miel'!V$8/6</f>
        <v>1039.7076985032552</v>
      </c>
      <c r="H13" s="94">
        <f>'A-Demande-Miel'!W$8/6</f>
        <v>1.6252289223629582E-3</v>
      </c>
      <c r="I13" s="94">
        <f>'A-Demande-Miel'!X$8/6</f>
        <v>2.0618545757172426</v>
      </c>
      <c r="J13" s="94">
        <f>'A-Demande-Miel'!Y$8/6</f>
        <v>0.10309272878586213</v>
      </c>
      <c r="K13" s="94">
        <f>'A-Demande-Miel'!Z$8/6</f>
        <v>0.20618545757172427</v>
      </c>
    </row>
    <row r="14" spans="1:23">
      <c r="A14" s="94">
        <v>11</v>
      </c>
      <c r="B14" s="94">
        <v>3</v>
      </c>
      <c r="C14" s="94">
        <v>14</v>
      </c>
      <c r="D14" s="94" t="s">
        <v>22</v>
      </c>
      <c r="E14" s="94" t="s">
        <v>23</v>
      </c>
      <c r="F14" s="94">
        <f>'A-Demande-Miel'!U$9/5</f>
        <v>9597.3018323377401</v>
      </c>
      <c r="G14" s="94">
        <f>'A-Demande-Miel'!V$9/5</f>
        <v>8733.5446674273444</v>
      </c>
      <c r="H14" s="94">
        <f>'A-Demande-Miel'!W$9/5</f>
        <v>1.3651922947848848E-2</v>
      </c>
      <c r="I14" s="94">
        <f>'A-Demande-Miel'!X$9/5</f>
        <v>17.319578436024834</v>
      </c>
      <c r="J14" s="94">
        <f>'A-Demande-Miel'!Y$9/5</f>
        <v>0.86597892180124192</v>
      </c>
      <c r="K14" s="94">
        <f>'A-Demande-Miel'!Z$9/5</f>
        <v>1.7319578436024838</v>
      </c>
    </row>
    <row r="15" spans="1:23">
      <c r="A15" s="94">
        <v>23</v>
      </c>
      <c r="B15" s="94">
        <v>3</v>
      </c>
      <c r="C15" s="94">
        <v>14</v>
      </c>
      <c r="D15" s="94" t="s">
        <v>46</v>
      </c>
      <c r="E15" s="94" t="s">
        <v>47</v>
      </c>
      <c r="F15" s="94">
        <f>'A-Demande-Miel'!U$9/5</f>
        <v>9597.3018323377401</v>
      </c>
      <c r="G15" s="94">
        <f>'A-Demande-Miel'!V$9/5</f>
        <v>8733.5446674273444</v>
      </c>
      <c r="H15" s="94">
        <f>'A-Demande-Miel'!W$9/5</f>
        <v>1.3651922947848848E-2</v>
      </c>
      <c r="I15" s="94">
        <f>'A-Demande-Miel'!X$9/5</f>
        <v>17.319578436024834</v>
      </c>
      <c r="J15" s="94">
        <f>'A-Demande-Miel'!Y$9/5</f>
        <v>0.86597892180124192</v>
      </c>
      <c r="K15" s="94">
        <f>'A-Demande-Miel'!Z$9/5</f>
        <v>1.7319578436024838</v>
      </c>
    </row>
    <row r="16" spans="1:23">
      <c r="A16" s="94">
        <v>38</v>
      </c>
      <c r="B16" s="94">
        <v>3</v>
      </c>
      <c r="C16" s="94">
        <v>14</v>
      </c>
      <c r="D16" s="94" t="s">
        <v>76</v>
      </c>
      <c r="E16" s="94" t="s">
        <v>77</v>
      </c>
      <c r="F16" s="94">
        <f>'A-Demande-Miel'!U$9/5</f>
        <v>9597.3018323377401</v>
      </c>
      <c r="G16" s="94">
        <f>'A-Demande-Miel'!V$9/5</f>
        <v>8733.5446674273444</v>
      </c>
      <c r="H16" s="94">
        <f>'A-Demande-Miel'!W$9/5</f>
        <v>1.3651922947848848E-2</v>
      </c>
      <c r="I16" s="94">
        <f>'A-Demande-Miel'!X$9/5</f>
        <v>17.319578436024834</v>
      </c>
      <c r="J16" s="94">
        <f>'A-Demande-Miel'!Y$9/5</f>
        <v>0.86597892180124192</v>
      </c>
      <c r="K16" s="94">
        <f>'A-Demande-Miel'!Z$9/5</f>
        <v>1.7319578436024838</v>
      </c>
    </row>
    <row r="17" spans="1:11">
      <c r="A17" s="94">
        <v>56</v>
      </c>
      <c r="B17" s="94">
        <v>3</v>
      </c>
      <c r="C17" s="94">
        <v>14</v>
      </c>
      <c r="D17" s="94" t="s">
        <v>112</v>
      </c>
      <c r="E17" s="94" t="s">
        <v>113</v>
      </c>
      <c r="F17" s="94">
        <f>'A-Demande-Miel'!U$9/5</f>
        <v>9597.3018323377401</v>
      </c>
      <c r="G17" s="94">
        <f>'A-Demande-Miel'!V$9/5</f>
        <v>8733.5446674273444</v>
      </c>
      <c r="H17" s="94">
        <f>'A-Demande-Miel'!W$9/5</f>
        <v>1.3651922947848848E-2</v>
      </c>
      <c r="I17" s="94">
        <f>'A-Demande-Miel'!X$9/5</f>
        <v>17.319578436024834</v>
      </c>
      <c r="J17" s="94">
        <f>'A-Demande-Miel'!Y$9/5</f>
        <v>0.86597892180124192</v>
      </c>
      <c r="K17" s="94">
        <f>'A-Demande-Miel'!Z$9/5</f>
        <v>1.7319578436024838</v>
      </c>
    </row>
    <row r="18" spans="1:11">
      <c r="A18" s="94">
        <v>60</v>
      </c>
      <c r="B18" s="94">
        <v>3</v>
      </c>
      <c r="C18" s="94">
        <v>14</v>
      </c>
      <c r="D18" s="94" t="s">
        <v>120</v>
      </c>
      <c r="E18" s="94" t="s">
        <v>121</v>
      </c>
      <c r="F18" s="94">
        <f>'A-Demande-Miel'!U$9/5</f>
        <v>9597.3018323377401</v>
      </c>
      <c r="G18" s="94">
        <f>'A-Demande-Miel'!V$9/5</f>
        <v>8733.5446674273444</v>
      </c>
      <c r="H18" s="94">
        <f>'A-Demande-Miel'!W$9/5</f>
        <v>1.3651922947848848E-2</v>
      </c>
      <c r="I18" s="94">
        <f>'A-Demande-Miel'!X$9/5</f>
        <v>17.319578436024834</v>
      </c>
      <c r="J18" s="94">
        <f>'A-Demande-Miel'!Y$9/5</f>
        <v>0.86597892180124192</v>
      </c>
      <c r="K18" s="94">
        <f>'A-Demande-Miel'!Z$9/5</f>
        <v>1.7319578436024838</v>
      </c>
    </row>
    <row r="19" spans="1:11">
      <c r="A19" s="94">
        <v>32</v>
      </c>
      <c r="B19" s="94">
        <v>4</v>
      </c>
      <c r="C19" s="94">
        <v>14</v>
      </c>
      <c r="D19" s="94" t="s">
        <v>64</v>
      </c>
      <c r="E19" s="94" t="s">
        <v>65</v>
      </c>
      <c r="F19" s="94">
        <f>'A-Demande-Miel'!U$10/2</f>
        <v>47986.5091616887</v>
      </c>
      <c r="G19" s="94">
        <f>'A-Demande-Miel'!V$10/2</f>
        <v>43667.723337136718</v>
      </c>
      <c r="H19" s="94">
        <f>'A-Demande-Miel'!W$10/2</f>
        <v>6.8259614739244245E-2</v>
      </c>
      <c r="I19" s="94">
        <f>'A-Demande-Miel'!X$10/2</f>
        <v>86.597892180124177</v>
      </c>
      <c r="J19" s="94">
        <f>'A-Demande-Miel'!Y$10/2</f>
        <v>4.3298946090062094</v>
      </c>
      <c r="K19" s="94">
        <f>'A-Demande-Miel'!Z$10/2</f>
        <v>8.6597892180124187</v>
      </c>
    </row>
    <row r="20" spans="1:11">
      <c r="A20" s="94">
        <v>37</v>
      </c>
      <c r="B20" s="94">
        <v>4</v>
      </c>
      <c r="C20" s="94">
        <v>14</v>
      </c>
      <c r="D20" s="94" t="s">
        <v>74</v>
      </c>
      <c r="E20" s="94" t="s">
        <v>75</v>
      </c>
      <c r="F20" s="94">
        <f>'A-Demande-Miel'!U$10/2</f>
        <v>47986.5091616887</v>
      </c>
      <c r="G20" s="94">
        <f>'A-Demande-Miel'!V$10/2</f>
        <v>43667.723337136718</v>
      </c>
      <c r="H20" s="94">
        <f>'A-Demande-Miel'!W$10/2</f>
        <v>6.8259614739244245E-2</v>
      </c>
      <c r="I20" s="94">
        <f>'A-Demande-Miel'!X$10/2</f>
        <v>86.597892180124177</v>
      </c>
      <c r="J20" s="94">
        <f>'A-Demande-Miel'!Y$10/2</f>
        <v>4.3298946090062094</v>
      </c>
      <c r="K20" s="94">
        <f>'A-Demande-Miel'!Z$10/2</f>
        <v>8.6597892180124187</v>
      </c>
    </row>
    <row r="21" spans="1:11">
      <c r="A21" s="94">
        <v>45</v>
      </c>
      <c r="B21" s="94">
        <v>1</v>
      </c>
      <c r="C21" s="94">
        <v>27</v>
      </c>
      <c r="D21" s="94" t="s">
        <v>90</v>
      </c>
      <c r="E21" s="94" t="s">
        <v>91</v>
      </c>
      <c r="F21" s="94">
        <f>'A-Demande-Miel'!U$11/4</f>
        <v>11182.472137791287</v>
      </c>
      <c r="G21" s="94">
        <f>'A-Demande-Miel'!V$11/4</f>
        <v>10176.049645390071</v>
      </c>
      <c r="H21" s="94">
        <f>'A-Demande-Miel'!W$11/4</f>
        <v>1.5906788247213779E-2</v>
      </c>
      <c r="I21" s="94">
        <f>'A-Demande-Miel'!X$11/4</f>
        <v>20.180224263298221</v>
      </c>
      <c r="J21" s="94">
        <f>'A-Demande-Miel'!Y$11/4</f>
        <v>1.0090112131649112</v>
      </c>
      <c r="K21" s="94">
        <f>'A-Demande-Miel'!Z$11/4</f>
        <v>2.0180224263298223</v>
      </c>
    </row>
    <row r="22" spans="1:11">
      <c r="A22" s="94">
        <v>51</v>
      </c>
      <c r="B22" s="94">
        <v>1</v>
      </c>
      <c r="C22" s="94">
        <v>27</v>
      </c>
      <c r="D22" s="94" t="s">
        <v>102</v>
      </c>
      <c r="E22" s="94" t="s">
        <v>103</v>
      </c>
      <c r="F22" s="94">
        <f>'A-Demande-Miel'!U$11/4</f>
        <v>11182.472137791287</v>
      </c>
      <c r="G22" s="94">
        <f>'A-Demande-Miel'!V$11/4</f>
        <v>10176.049645390071</v>
      </c>
      <c r="H22" s="94">
        <f>'A-Demande-Miel'!W$11/4</f>
        <v>1.5906788247213779E-2</v>
      </c>
      <c r="I22" s="94">
        <f>'A-Demande-Miel'!X$11/4</f>
        <v>20.180224263298221</v>
      </c>
      <c r="J22" s="94">
        <f>'A-Demande-Miel'!Y$11/4</f>
        <v>1.0090112131649112</v>
      </c>
      <c r="K22" s="94">
        <f>'A-Demande-Miel'!Z$11/4</f>
        <v>2.0180224263298223</v>
      </c>
    </row>
    <row r="23" spans="1:11">
      <c r="A23" s="94">
        <v>52</v>
      </c>
      <c r="B23" s="94">
        <v>1</v>
      </c>
      <c r="C23" s="94">
        <v>27</v>
      </c>
      <c r="D23" s="94" t="s">
        <v>104</v>
      </c>
      <c r="E23" s="94" t="s">
        <v>105</v>
      </c>
      <c r="F23" s="94">
        <f>'A-Demande-Miel'!U$11/4</f>
        <v>11182.472137791287</v>
      </c>
      <c r="G23" s="94">
        <f>'A-Demande-Miel'!V$11/4</f>
        <v>10176.049645390071</v>
      </c>
      <c r="H23" s="94">
        <f>'A-Demande-Miel'!W$11/4</f>
        <v>1.5906788247213779E-2</v>
      </c>
      <c r="I23" s="94">
        <f>'A-Demande-Miel'!X$11/4</f>
        <v>20.180224263298221</v>
      </c>
      <c r="J23" s="94">
        <f>'A-Demande-Miel'!Y$11/4</f>
        <v>1.0090112131649112</v>
      </c>
      <c r="K23" s="94">
        <f>'A-Demande-Miel'!Z$11/4</f>
        <v>2.0180224263298223</v>
      </c>
    </row>
    <row r="24" spans="1:11">
      <c r="A24" s="94">
        <v>55</v>
      </c>
      <c r="B24" s="94">
        <v>1</v>
      </c>
      <c r="C24" s="94">
        <v>27</v>
      </c>
      <c r="D24" s="94" t="s">
        <v>110</v>
      </c>
      <c r="E24" s="94" t="s">
        <v>111</v>
      </c>
      <c r="F24" s="94">
        <f>'A-Demande-Miel'!U$11/4</f>
        <v>11182.472137791287</v>
      </c>
      <c r="G24" s="94">
        <f>'A-Demande-Miel'!V$11/4</f>
        <v>10176.049645390071</v>
      </c>
      <c r="H24" s="94">
        <f>'A-Demande-Miel'!W$11/4</f>
        <v>1.5906788247213779E-2</v>
      </c>
      <c r="I24" s="94">
        <f>'A-Demande-Miel'!X$11/4</f>
        <v>20.180224263298221</v>
      </c>
      <c r="J24" s="94">
        <f>'A-Demande-Miel'!Y$11/4</f>
        <v>1.0090112131649112</v>
      </c>
      <c r="K24" s="94">
        <f>'A-Demande-Miel'!Z$11/4</f>
        <v>2.0180224263298223</v>
      </c>
    </row>
    <row r="25" spans="1:11">
      <c r="A25" s="94">
        <v>14</v>
      </c>
      <c r="B25" s="94">
        <v>2</v>
      </c>
      <c r="C25" s="94">
        <v>27</v>
      </c>
      <c r="D25" s="94" t="s">
        <v>28</v>
      </c>
      <c r="E25" s="94" t="s">
        <v>29</v>
      </c>
      <c r="F25" s="94">
        <f>'A-Demande-Miel'!U$12/6</f>
        <v>7454.9814251941907</v>
      </c>
      <c r="G25" s="94">
        <f>'A-Demande-Miel'!V$12/6</f>
        <v>6784.0330969267134</v>
      </c>
      <c r="H25" s="94">
        <f>'A-Demande-Miel'!W$12/6</f>
        <v>1.0604525498142519E-2</v>
      </c>
      <c r="I25" s="94">
        <f>'A-Demande-Miel'!X$12/6</f>
        <v>13.453482842198815</v>
      </c>
      <c r="J25" s="94">
        <f>'A-Demande-Miel'!Y$12/6</f>
        <v>0.67267414210994081</v>
      </c>
      <c r="K25" s="94">
        <f>'A-Demande-Miel'!Z$12/6</f>
        <v>1.3453482842198816</v>
      </c>
    </row>
    <row r="26" spans="1:11">
      <c r="A26" s="94">
        <v>15</v>
      </c>
      <c r="B26" s="94">
        <v>2</v>
      </c>
      <c r="C26" s="94">
        <v>27</v>
      </c>
      <c r="D26" s="94" t="s">
        <v>30</v>
      </c>
      <c r="E26" s="94" t="s">
        <v>31</v>
      </c>
      <c r="F26" s="94">
        <f>'A-Demande-Miel'!U$12/6</f>
        <v>7454.9814251941907</v>
      </c>
      <c r="G26" s="94">
        <f>'A-Demande-Miel'!V$12/6</f>
        <v>6784.0330969267134</v>
      </c>
      <c r="H26" s="94">
        <f>'A-Demande-Miel'!W$12/6</f>
        <v>1.0604525498142519E-2</v>
      </c>
      <c r="I26" s="94">
        <f>'A-Demande-Miel'!X$12/6</f>
        <v>13.453482842198815</v>
      </c>
      <c r="J26" s="94">
        <f>'A-Demande-Miel'!Y$12/6</f>
        <v>0.67267414210994081</v>
      </c>
      <c r="K26" s="94">
        <f>'A-Demande-Miel'!Z$12/6</f>
        <v>1.3453482842198816</v>
      </c>
    </row>
    <row r="27" spans="1:11">
      <c r="A27" s="94">
        <v>17</v>
      </c>
      <c r="B27" s="94">
        <v>2</v>
      </c>
      <c r="C27" s="94">
        <v>27</v>
      </c>
      <c r="D27" s="94" t="s">
        <v>34</v>
      </c>
      <c r="E27" s="94" t="s">
        <v>35</v>
      </c>
      <c r="F27" s="94">
        <f>'A-Demande-Miel'!U$12/6</f>
        <v>7454.9814251941907</v>
      </c>
      <c r="G27" s="94">
        <f>'A-Demande-Miel'!V$12/6</f>
        <v>6784.0330969267134</v>
      </c>
      <c r="H27" s="94">
        <f>'A-Demande-Miel'!W$12/6</f>
        <v>1.0604525498142519E-2</v>
      </c>
      <c r="I27" s="94">
        <f>'A-Demande-Miel'!X$12/6</f>
        <v>13.453482842198815</v>
      </c>
      <c r="J27" s="94">
        <f>'A-Demande-Miel'!Y$12/6</f>
        <v>0.67267414210994081</v>
      </c>
      <c r="K27" s="94">
        <f>'A-Demande-Miel'!Z$12/6</f>
        <v>1.3453482842198816</v>
      </c>
    </row>
    <row r="28" spans="1:11">
      <c r="A28" s="94">
        <v>18</v>
      </c>
      <c r="B28" s="94">
        <v>2</v>
      </c>
      <c r="C28" s="94">
        <v>27</v>
      </c>
      <c r="D28" s="94" t="s">
        <v>36</v>
      </c>
      <c r="E28" s="94" t="s">
        <v>37</v>
      </c>
      <c r="F28" s="94">
        <f>'A-Demande-Miel'!U$12/6</f>
        <v>7454.9814251941907</v>
      </c>
      <c r="G28" s="94">
        <f>'A-Demande-Miel'!V$12/6</f>
        <v>6784.0330969267134</v>
      </c>
      <c r="H28" s="94">
        <f>'A-Demande-Miel'!W$12/6</f>
        <v>1.0604525498142519E-2</v>
      </c>
      <c r="I28" s="94">
        <f>'A-Demande-Miel'!X$12/6</f>
        <v>13.453482842198815</v>
      </c>
      <c r="J28" s="94">
        <f>'A-Demande-Miel'!Y$12/6</f>
        <v>0.67267414210994081</v>
      </c>
      <c r="K28" s="94">
        <f>'A-Demande-Miel'!Z$12/6</f>
        <v>1.3453482842198816</v>
      </c>
    </row>
    <row r="29" spans="1:11">
      <c r="A29" s="94">
        <v>19</v>
      </c>
      <c r="B29" s="94">
        <v>2</v>
      </c>
      <c r="C29" s="94">
        <v>27</v>
      </c>
      <c r="D29" s="94" t="s">
        <v>38</v>
      </c>
      <c r="E29" s="94" t="s">
        <v>39</v>
      </c>
      <c r="F29" s="94">
        <f>'A-Demande-Miel'!U$12/6</f>
        <v>7454.9814251941907</v>
      </c>
      <c r="G29" s="94">
        <f>'A-Demande-Miel'!V$12/6</f>
        <v>6784.0330969267134</v>
      </c>
      <c r="H29" s="94">
        <f>'A-Demande-Miel'!W$12/6</f>
        <v>1.0604525498142519E-2</v>
      </c>
      <c r="I29" s="94">
        <f>'A-Demande-Miel'!X$12/6</f>
        <v>13.453482842198815</v>
      </c>
      <c r="J29" s="94">
        <f>'A-Demande-Miel'!Y$12/6</f>
        <v>0.67267414210994081</v>
      </c>
      <c r="K29" s="94">
        <f>'A-Demande-Miel'!Z$12/6</f>
        <v>1.3453482842198816</v>
      </c>
    </row>
    <row r="30" spans="1:11">
      <c r="A30" s="94">
        <v>62</v>
      </c>
      <c r="B30" s="94">
        <v>2</v>
      </c>
      <c r="C30" s="94">
        <v>27</v>
      </c>
      <c r="D30" s="94" t="s">
        <v>124</v>
      </c>
      <c r="E30" s="94" t="s">
        <v>125</v>
      </c>
      <c r="F30" s="94">
        <f>'A-Demande-Miel'!U$12/6</f>
        <v>7454.9814251941907</v>
      </c>
      <c r="G30" s="94">
        <f>'A-Demande-Miel'!V$12/6</f>
        <v>6784.0330969267134</v>
      </c>
      <c r="H30" s="94">
        <f>'A-Demande-Miel'!W$12/6</f>
        <v>1.0604525498142519E-2</v>
      </c>
      <c r="I30" s="94">
        <f>'A-Demande-Miel'!X$12/6</f>
        <v>13.453482842198815</v>
      </c>
      <c r="J30" s="94">
        <f>'A-Demande-Miel'!Y$12/6</f>
        <v>0.67267414210994081</v>
      </c>
      <c r="K30" s="94">
        <f>'A-Demande-Miel'!Z$12/6</f>
        <v>1.3453482842198816</v>
      </c>
    </row>
    <row r="31" spans="1:11">
      <c r="A31" s="94">
        <v>7</v>
      </c>
      <c r="B31" s="94">
        <v>3</v>
      </c>
      <c r="C31" s="94">
        <v>27</v>
      </c>
      <c r="D31" s="94" t="s">
        <v>14</v>
      </c>
      <c r="E31" s="94" t="s">
        <v>15</v>
      </c>
      <c r="F31" s="94">
        <f>'A-Demande-Miel'!U$13/3</f>
        <v>14909.962850388381</v>
      </c>
      <c r="G31" s="94">
        <f>'A-Demande-Miel'!V$13/3</f>
        <v>13568.066193853427</v>
      </c>
      <c r="H31" s="94">
        <f>'A-Demande-Miel'!W$13/3</f>
        <v>2.1209050996285037E-2</v>
      </c>
      <c r="I31" s="94">
        <f>'A-Demande-Miel'!X$13/3</f>
        <v>26.90696568439763</v>
      </c>
      <c r="J31" s="94">
        <f>'A-Demande-Miel'!Y$13/3</f>
        <v>1.3453482842198816</v>
      </c>
      <c r="K31" s="94">
        <f>'A-Demande-Miel'!Z$13/3</f>
        <v>2.6906965684397632</v>
      </c>
    </row>
    <row r="32" spans="1:11">
      <c r="A32" s="94">
        <v>47</v>
      </c>
      <c r="B32" s="94">
        <v>3</v>
      </c>
      <c r="C32" s="94">
        <v>27</v>
      </c>
      <c r="D32" s="94" t="s">
        <v>94</v>
      </c>
      <c r="E32" s="94" t="s">
        <v>95</v>
      </c>
      <c r="F32" s="94">
        <f>'A-Demande-Miel'!U$13/3</f>
        <v>14909.962850388381</v>
      </c>
      <c r="G32" s="94">
        <f>'A-Demande-Miel'!V$13/3</f>
        <v>13568.066193853427</v>
      </c>
      <c r="H32" s="94">
        <f>'A-Demande-Miel'!W$13/3</f>
        <v>2.1209050996285037E-2</v>
      </c>
      <c r="I32" s="94">
        <f>'A-Demande-Miel'!X$13/3</f>
        <v>26.90696568439763</v>
      </c>
      <c r="J32" s="94">
        <f>'A-Demande-Miel'!Y$13/3</f>
        <v>1.3453482842198816</v>
      </c>
      <c r="K32" s="94">
        <f>'A-Demande-Miel'!Z$13/3</f>
        <v>2.6906965684397632</v>
      </c>
    </row>
    <row r="33" spans="1:11">
      <c r="A33" s="94">
        <v>61</v>
      </c>
      <c r="B33" s="94">
        <v>3</v>
      </c>
      <c r="C33" s="94">
        <v>27</v>
      </c>
      <c r="D33" s="94" t="s">
        <v>122</v>
      </c>
      <c r="E33" s="94" t="s">
        <v>123</v>
      </c>
      <c r="F33" s="94">
        <f>'A-Demande-Miel'!U$13/3</f>
        <v>14909.962850388381</v>
      </c>
      <c r="G33" s="94">
        <f>'A-Demande-Miel'!V$13/3</f>
        <v>13568.066193853427</v>
      </c>
      <c r="H33" s="94">
        <f>'A-Demande-Miel'!W$13/3</f>
        <v>2.1209050996285037E-2</v>
      </c>
      <c r="I33" s="94">
        <f>'A-Demande-Miel'!X$13/3</f>
        <v>26.90696568439763</v>
      </c>
      <c r="J33" s="94">
        <f>'A-Demande-Miel'!Y$13/3</f>
        <v>1.3453482842198816</v>
      </c>
      <c r="K33" s="94">
        <f>'A-Demande-Miel'!Z$13/3</f>
        <v>2.6906965684397632</v>
      </c>
    </row>
    <row r="34" spans="1:11">
      <c r="A34" s="94">
        <v>8</v>
      </c>
      <c r="B34" s="94">
        <v>1</v>
      </c>
      <c r="C34" s="94">
        <v>50</v>
      </c>
      <c r="D34" s="94" t="s">
        <v>16</v>
      </c>
      <c r="E34" s="94" t="s">
        <v>17</v>
      </c>
      <c r="F34" s="94">
        <f>'A-Demande-Miel'!U$14/2</f>
        <v>30848.470175371313</v>
      </c>
      <c r="G34" s="94">
        <f>'A-Demande-Miel'!V$14/2</f>
        <v>28072.107859587897</v>
      </c>
      <c r="H34" s="94">
        <f>'A-Demande-Miel'!W$14/2</f>
        <v>4.3881180903799881E-2</v>
      </c>
      <c r="I34" s="94">
        <f>'A-Demande-Miel'!X$14/2</f>
        <v>55.670073544365557</v>
      </c>
      <c r="J34" s="94">
        <f>'A-Demande-Miel'!Y$14/2</f>
        <v>2.783503677218278</v>
      </c>
      <c r="K34" s="94">
        <f>'A-Demande-Miel'!Z$14/2</f>
        <v>5.5670073544365559</v>
      </c>
    </row>
    <row r="35" spans="1:11">
      <c r="A35" s="94">
        <v>34</v>
      </c>
      <c r="B35" s="94">
        <v>1</v>
      </c>
      <c r="C35" s="94">
        <v>50</v>
      </c>
      <c r="D35" s="94" t="s">
        <v>68</v>
      </c>
      <c r="E35" s="94" t="s">
        <v>69</v>
      </c>
      <c r="F35" s="94">
        <f>'A-Demande-Miel'!U$14/2</f>
        <v>30848.470175371313</v>
      </c>
      <c r="G35" s="94">
        <f>'A-Demande-Miel'!V$14/2</f>
        <v>28072.107859587897</v>
      </c>
      <c r="H35" s="94">
        <f>'A-Demande-Miel'!W$14/2</f>
        <v>4.3881180903799881E-2</v>
      </c>
      <c r="I35" s="94">
        <f>'A-Demande-Miel'!X$14/2</f>
        <v>55.670073544365557</v>
      </c>
      <c r="J35" s="94">
        <f>'A-Demande-Miel'!Y$14/2</f>
        <v>2.783503677218278</v>
      </c>
      <c r="K35" s="94">
        <f>'A-Demande-Miel'!Z$14/2</f>
        <v>5.5670073544365559</v>
      </c>
    </row>
    <row r="36" spans="1:11">
      <c r="A36" s="94">
        <v>9</v>
      </c>
      <c r="B36" s="94">
        <v>2</v>
      </c>
      <c r="C36" s="94">
        <v>50</v>
      </c>
      <c r="D36" s="94" t="s">
        <v>18</v>
      </c>
      <c r="E36" s="94" t="s">
        <v>19</v>
      </c>
      <c r="F36" s="94">
        <f>'A-Demande-Miel'!U$15/2</f>
        <v>4798.6509161688709</v>
      </c>
      <c r="G36" s="94">
        <f>'A-Demande-Miel'!V$15/2</f>
        <v>4366.7723337136731</v>
      </c>
      <c r="H36" s="94">
        <f>'A-Demande-Miel'!W$15/2</f>
        <v>6.8259614739244259E-3</v>
      </c>
      <c r="I36" s="94">
        <f>'A-Demande-Miel'!X$15/2</f>
        <v>8.6597892180124205</v>
      </c>
      <c r="J36" s="94">
        <f>'A-Demande-Miel'!Y$15/2</f>
        <v>0.43298946090062107</v>
      </c>
      <c r="K36" s="94">
        <f>'A-Demande-Miel'!Z$15/2</f>
        <v>0.86597892180124214</v>
      </c>
    </row>
    <row r="37" spans="1:11">
      <c r="A37" s="94">
        <v>26</v>
      </c>
      <c r="B37" s="94">
        <v>2</v>
      </c>
      <c r="C37" s="94">
        <v>50</v>
      </c>
      <c r="D37" s="94" t="s">
        <v>52</v>
      </c>
      <c r="E37" s="94" t="s">
        <v>53</v>
      </c>
      <c r="F37" s="94">
        <f>'A-Demande-Miel'!U$15/2</f>
        <v>4798.6509161688709</v>
      </c>
      <c r="G37" s="94">
        <f>'A-Demande-Miel'!V$15/2</f>
        <v>4366.7723337136731</v>
      </c>
      <c r="H37" s="94">
        <f>'A-Demande-Miel'!W$15/2</f>
        <v>6.8259614739244259E-3</v>
      </c>
      <c r="I37" s="94">
        <f>'A-Demande-Miel'!X$15/2</f>
        <v>8.6597892180124205</v>
      </c>
      <c r="J37" s="94">
        <f>'A-Demande-Miel'!Y$15/2</f>
        <v>0.43298946090062107</v>
      </c>
      <c r="K37" s="94">
        <f>'A-Demande-Miel'!Z$15/2</f>
        <v>0.86597892180124214</v>
      </c>
    </row>
    <row r="38" spans="1:11">
      <c r="A38" s="94">
        <v>24</v>
      </c>
      <c r="B38" s="94">
        <v>3</v>
      </c>
      <c r="C38" s="94">
        <v>50</v>
      </c>
      <c r="D38" s="94" t="s">
        <v>48</v>
      </c>
      <c r="E38" s="94" t="s">
        <v>49</v>
      </c>
      <c r="F38" s="94">
        <f>'A-Demande-Miel'!U$16/2</f>
        <v>13710.431189053916</v>
      </c>
      <c r="G38" s="94">
        <f>'A-Demande-Miel'!V$16/2</f>
        <v>12476.492382039063</v>
      </c>
      <c r="H38" s="94">
        <f>'A-Demande-Miel'!W$16/2</f>
        <v>1.9502747068355499E-2</v>
      </c>
      <c r="I38" s="94">
        <f>'A-Demande-Miel'!X$16/2</f>
        <v>24.742254908606913</v>
      </c>
      <c r="J38" s="94">
        <f>'A-Demande-Miel'!Y$16/2</f>
        <v>1.2371127454303457</v>
      </c>
      <c r="K38" s="94">
        <f>'A-Demande-Miel'!Z$16/2</f>
        <v>2.4742254908606913</v>
      </c>
    </row>
    <row r="39" spans="1:11">
      <c r="A39" s="94">
        <v>25</v>
      </c>
      <c r="B39" s="94">
        <v>3</v>
      </c>
      <c r="C39" s="94">
        <v>50</v>
      </c>
      <c r="D39" s="94" t="s">
        <v>50</v>
      </c>
      <c r="E39" s="94" t="s">
        <v>51</v>
      </c>
      <c r="F39" s="94">
        <f>'A-Demande-Miel'!U$16/2</f>
        <v>13710.431189053916</v>
      </c>
      <c r="G39" s="94">
        <f>'A-Demande-Miel'!V$16/2</f>
        <v>12476.492382039063</v>
      </c>
      <c r="H39" s="94">
        <f>'A-Demande-Miel'!W$16/2</f>
        <v>1.9502747068355499E-2</v>
      </c>
      <c r="I39" s="94">
        <f>'A-Demande-Miel'!X$16/2</f>
        <v>24.742254908606913</v>
      </c>
      <c r="J39" s="94">
        <f>'A-Demande-Miel'!Y$16/2</f>
        <v>1.2371127454303457</v>
      </c>
      <c r="K39" s="94">
        <f>'A-Demande-Miel'!Z$16/2</f>
        <v>2.4742254908606913</v>
      </c>
    </row>
    <row r="40" spans="1:11">
      <c r="A40" s="94">
        <v>10</v>
      </c>
      <c r="B40" s="94">
        <v>4</v>
      </c>
      <c r="C40" s="94">
        <v>50</v>
      </c>
      <c r="D40" s="94" t="s">
        <v>20</v>
      </c>
      <c r="E40" s="94" t="s">
        <v>21</v>
      </c>
      <c r="F40" s="94">
        <f>'A-Demande-Miel'!U$17/2</f>
        <v>13710.431189053916</v>
      </c>
      <c r="G40" s="94">
        <f>'A-Demande-Miel'!V$17/2</f>
        <v>12476.492382039063</v>
      </c>
      <c r="H40" s="94">
        <f>'A-Demande-Miel'!W$17/2</f>
        <v>1.9502747068355499E-2</v>
      </c>
      <c r="I40" s="94">
        <f>'A-Demande-Miel'!X$17/2</f>
        <v>24.742254908606913</v>
      </c>
      <c r="J40" s="94">
        <f>'A-Demande-Miel'!Y$17/2</f>
        <v>1.2371127454303457</v>
      </c>
      <c r="K40" s="94">
        <f>'A-Demande-Miel'!Z$17/2</f>
        <v>2.4742254908606913</v>
      </c>
    </row>
    <row r="41" spans="1:11">
      <c r="A41" s="94">
        <v>16</v>
      </c>
      <c r="B41" s="94">
        <v>4</v>
      </c>
      <c r="C41" s="94">
        <v>50</v>
      </c>
      <c r="D41" s="94" t="s">
        <v>32</v>
      </c>
      <c r="E41" s="94" t="s">
        <v>33</v>
      </c>
      <c r="F41" s="94">
        <f>'A-Demande-Miel'!U$17/2</f>
        <v>13710.431189053916</v>
      </c>
      <c r="G41" s="94">
        <f>'A-Demande-Miel'!V$17/2</f>
        <v>12476.492382039063</v>
      </c>
      <c r="H41" s="94">
        <f>'A-Demande-Miel'!W$17/2</f>
        <v>1.9502747068355499E-2</v>
      </c>
      <c r="I41" s="94">
        <f>'A-Demande-Miel'!X$17/2</f>
        <v>24.742254908606913</v>
      </c>
      <c r="J41" s="94">
        <f>'A-Demande-Miel'!Y$17/2</f>
        <v>1.2371127454303457</v>
      </c>
      <c r="K41" s="94">
        <f>'A-Demande-Miel'!Z$17/2</f>
        <v>2.4742254908606913</v>
      </c>
    </row>
    <row r="42" spans="1:11">
      <c r="A42" s="94">
        <v>3</v>
      </c>
      <c r="B42" s="94">
        <v>1</v>
      </c>
      <c r="C42" s="94">
        <v>61</v>
      </c>
      <c r="D42" s="94" t="s">
        <v>6</v>
      </c>
      <c r="E42" s="94" t="s">
        <v>7</v>
      </c>
      <c r="F42" s="94">
        <f>'A-Demande-Miel'!U$18/5</f>
        <v>5484.1724756215663</v>
      </c>
      <c r="G42" s="94">
        <f>'A-Demande-Miel'!V$18/5</f>
        <v>4990.5969528156256</v>
      </c>
      <c r="H42" s="94">
        <f>'A-Demande-Miel'!W$18/5</f>
        <v>7.8010988273421993E-3</v>
      </c>
      <c r="I42" s="94">
        <f>'A-Demande-Miel'!X$18/5</f>
        <v>9.8969019634427653</v>
      </c>
      <c r="J42" s="94">
        <f>'A-Demande-Miel'!Y$18/5</f>
        <v>0.49484509817213829</v>
      </c>
      <c r="K42" s="94">
        <f>'A-Demande-Miel'!Z$18/5</f>
        <v>0.98969019634427657</v>
      </c>
    </row>
    <row r="43" spans="1:11">
      <c r="A43" s="94">
        <v>4</v>
      </c>
      <c r="B43" s="94">
        <v>1</v>
      </c>
      <c r="C43" s="94">
        <v>61</v>
      </c>
      <c r="D43" s="94" t="s">
        <v>8</v>
      </c>
      <c r="E43" s="94" t="s">
        <v>9</v>
      </c>
      <c r="F43" s="94">
        <f>'A-Demande-Miel'!U$18/5</f>
        <v>5484.1724756215663</v>
      </c>
      <c r="G43" s="94">
        <f>'A-Demande-Miel'!V$18/5</f>
        <v>4990.5969528156256</v>
      </c>
      <c r="H43" s="94">
        <f>'A-Demande-Miel'!W$18/5</f>
        <v>7.8010988273421993E-3</v>
      </c>
      <c r="I43" s="94">
        <f>'A-Demande-Miel'!X$18/5</f>
        <v>9.8969019634427653</v>
      </c>
      <c r="J43" s="94">
        <f>'A-Demande-Miel'!Y$18/5</f>
        <v>0.49484509817213829</v>
      </c>
      <c r="K43" s="94">
        <f>'A-Demande-Miel'!Z$18/5</f>
        <v>0.98969019634427657</v>
      </c>
    </row>
    <row r="44" spans="1:11">
      <c r="A44" s="94">
        <v>28</v>
      </c>
      <c r="B44" s="94">
        <v>1</v>
      </c>
      <c r="C44" s="94">
        <v>61</v>
      </c>
      <c r="D44" s="94" t="s">
        <v>56</v>
      </c>
      <c r="E44" s="94" t="s">
        <v>57</v>
      </c>
      <c r="F44" s="94">
        <f>'A-Demande-Miel'!U$18/5</f>
        <v>5484.1724756215663</v>
      </c>
      <c r="G44" s="94">
        <f>'A-Demande-Miel'!V$18/5</f>
        <v>4990.5969528156256</v>
      </c>
      <c r="H44" s="94">
        <f>'A-Demande-Miel'!W$18/5</f>
        <v>7.8010988273421993E-3</v>
      </c>
      <c r="I44" s="94">
        <f>'A-Demande-Miel'!X$18/5</f>
        <v>9.8969019634427653</v>
      </c>
      <c r="J44" s="94">
        <f>'A-Demande-Miel'!Y$18/5</f>
        <v>0.49484509817213829</v>
      </c>
      <c r="K44" s="94">
        <f>'A-Demande-Miel'!Z$18/5</f>
        <v>0.98969019634427657</v>
      </c>
    </row>
    <row r="45" spans="1:11">
      <c r="A45" s="94">
        <v>50</v>
      </c>
      <c r="B45" s="94">
        <v>1</v>
      </c>
      <c r="C45" s="94">
        <v>61</v>
      </c>
      <c r="D45" s="94" t="s">
        <v>100</v>
      </c>
      <c r="E45" s="94" t="s">
        <v>101</v>
      </c>
      <c r="F45" s="94">
        <f>'A-Demande-Miel'!U$18/5</f>
        <v>5484.1724756215663</v>
      </c>
      <c r="G45" s="94">
        <f>'A-Demande-Miel'!V$18/5</f>
        <v>4990.5969528156256</v>
      </c>
      <c r="H45" s="94">
        <f>'A-Demande-Miel'!W$18/5</f>
        <v>7.8010988273421993E-3</v>
      </c>
      <c r="I45" s="94">
        <f>'A-Demande-Miel'!X$18/5</f>
        <v>9.8969019634427653</v>
      </c>
      <c r="J45" s="94">
        <f>'A-Demande-Miel'!Y$18/5</f>
        <v>0.49484509817213829</v>
      </c>
      <c r="K45" s="94">
        <f>'A-Demande-Miel'!Z$18/5</f>
        <v>0.98969019634427657</v>
      </c>
    </row>
    <row r="46" spans="1:11">
      <c r="A46" s="94">
        <v>64</v>
      </c>
      <c r="B46" s="94">
        <v>1</v>
      </c>
      <c r="C46" s="94">
        <v>61</v>
      </c>
      <c r="D46" s="94" t="s">
        <v>128</v>
      </c>
      <c r="E46" s="94" t="s">
        <v>129</v>
      </c>
      <c r="F46" s="94">
        <f>'A-Demande-Miel'!U$18/5</f>
        <v>5484.1724756215663</v>
      </c>
      <c r="G46" s="94">
        <f>'A-Demande-Miel'!V$18/5</f>
        <v>4990.5969528156256</v>
      </c>
      <c r="H46" s="94">
        <f>'A-Demande-Miel'!W$18/5</f>
        <v>7.8010988273421993E-3</v>
      </c>
      <c r="I46" s="94">
        <f>'A-Demande-Miel'!X$18/5</f>
        <v>9.8969019634427653</v>
      </c>
      <c r="J46" s="94">
        <f>'A-Demande-Miel'!Y$18/5</f>
        <v>0.49484509817213829</v>
      </c>
      <c r="K46" s="94">
        <f>'A-Demande-Miel'!Z$18/5</f>
        <v>0.98969019634427657</v>
      </c>
    </row>
    <row r="47" spans="1:11">
      <c r="A47" s="94">
        <v>5</v>
      </c>
      <c r="B47" s="94">
        <v>2</v>
      </c>
      <c r="C47" s="94">
        <v>61</v>
      </c>
      <c r="D47" s="94" t="s">
        <v>10</v>
      </c>
      <c r="E47" s="94" t="s">
        <v>11</v>
      </c>
      <c r="F47" s="94">
        <f>'A-Demande-Miel'!U$19/4</f>
        <v>17138.038986317395</v>
      </c>
      <c r="G47" s="94">
        <f>'A-Demande-Miel'!V$19/4</f>
        <v>15595.61547754883</v>
      </c>
      <c r="H47" s="94">
        <f>'A-Demande-Miel'!W$19/4</f>
        <v>2.4378433835444375E-2</v>
      </c>
      <c r="I47" s="94">
        <f>'A-Demande-Miel'!X$19/4</f>
        <v>30.927818635758637</v>
      </c>
      <c r="J47" s="94">
        <f>'A-Demande-Miel'!Y$19/4</f>
        <v>1.5463909317879319</v>
      </c>
      <c r="K47" s="94">
        <f>'A-Demande-Miel'!Z$19/4</f>
        <v>3.0927818635758637</v>
      </c>
    </row>
    <row r="48" spans="1:11">
      <c r="A48" s="94">
        <v>29</v>
      </c>
      <c r="B48" s="94">
        <v>2</v>
      </c>
      <c r="C48" s="94">
        <v>61</v>
      </c>
      <c r="D48" s="94" t="s">
        <v>58</v>
      </c>
      <c r="E48" s="94" t="s">
        <v>59</v>
      </c>
      <c r="F48" s="94">
        <f>'A-Demande-Miel'!U$19/4</f>
        <v>17138.038986317395</v>
      </c>
      <c r="G48" s="94">
        <f>'A-Demande-Miel'!V$19/4</f>
        <v>15595.61547754883</v>
      </c>
      <c r="H48" s="94">
        <f>'A-Demande-Miel'!W$19/4</f>
        <v>2.4378433835444375E-2</v>
      </c>
      <c r="I48" s="94">
        <f>'A-Demande-Miel'!X$19/4</f>
        <v>30.927818635758637</v>
      </c>
      <c r="J48" s="94">
        <f>'A-Demande-Miel'!Y$19/4</f>
        <v>1.5463909317879319</v>
      </c>
      <c r="K48" s="94">
        <f>'A-Demande-Miel'!Z$19/4</f>
        <v>3.0927818635758637</v>
      </c>
    </row>
    <row r="49" spans="1:11">
      <c r="A49" s="94">
        <v>49</v>
      </c>
      <c r="B49" s="94">
        <v>2</v>
      </c>
      <c r="C49" s="94">
        <v>61</v>
      </c>
      <c r="D49" s="94" t="s">
        <v>98</v>
      </c>
      <c r="E49" s="94" t="s">
        <v>99</v>
      </c>
      <c r="F49" s="94">
        <f>'A-Demande-Miel'!U$19/4</f>
        <v>17138.038986317395</v>
      </c>
      <c r="G49" s="94">
        <f>'A-Demande-Miel'!V$19/4</f>
        <v>15595.61547754883</v>
      </c>
      <c r="H49" s="94">
        <f>'A-Demande-Miel'!W$19/4</f>
        <v>2.4378433835444375E-2</v>
      </c>
      <c r="I49" s="94">
        <f>'A-Demande-Miel'!X$19/4</f>
        <v>30.927818635758637</v>
      </c>
      <c r="J49" s="94">
        <f>'A-Demande-Miel'!Y$19/4</f>
        <v>1.5463909317879319</v>
      </c>
      <c r="K49" s="94">
        <f>'A-Demande-Miel'!Z$19/4</f>
        <v>3.0927818635758637</v>
      </c>
    </row>
    <row r="50" spans="1:11">
      <c r="A50" s="94">
        <v>63</v>
      </c>
      <c r="B50" s="94">
        <v>2</v>
      </c>
      <c r="C50" s="94">
        <v>61</v>
      </c>
      <c r="D50" s="94" t="s">
        <v>126</v>
      </c>
      <c r="E50" s="94" t="s">
        <v>127</v>
      </c>
      <c r="F50" s="94">
        <f>'A-Demande-Miel'!U$19/4</f>
        <v>17138.038986317395</v>
      </c>
      <c r="G50" s="94">
        <f>'A-Demande-Miel'!V$19/4</f>
        <v>15595.61547754883</v>
      </c>
      <c r="H50" s="94">
        <f>'A-Demande-Miel'!W$19/4</f>
        <v>2.4378433835444375E-2</v>
      </c>
      <c r="I50" s="94">
        <f>'A-Demande-Miel'!X$19/4</f>
        <v>30.927818635758637</v>
      </c>
      <c r="J50" s="94">
        <f>'A-Demande-Miel'!Y$19/4</f>
        <v>1.5463909317879319</v>
      </c>
      <c r="K50" s="94">
        <f>'A-Demande-Miel'!Z$19/4</f>
        <v>3.0927818635758637</v>
      </c>
    </row>
    <row r="51" spans="1:11">
      <c r="A51" s="94">
        <v>6</v>
      </c>
      <c r="B51" s="94">
        <v>3</v>
      </c>
      <c r="C51" s="94">
        <v>61</v>
      </c>
      <c r="D51" s="94" t="s">
        <v>12</v>
      </c>
      <c r="E51" s="94" t="s">
        <v>13</v>
      </c>
      <c r="F51" s="94">
        <f>'A-Demande-Miel'!U$20/7</f>
        <v>8324.1903647827348</v>
      </c>
      <c r="G51" s="94">
        <f>'A-Demande-Miel'!V$20/7</f>
        <v>7575.0132319522891</v>
      </c>
      <c r="H51" s="94">
        <f>'A-Demande-Miel'!W$20/7</f>
        <v>1.1840953577215841E-2</v>
      </c>
      <c r="I51" s="94">
        <f>'A-Demande-Miel'!X$20/7</f>
        <v>15.022083337368484</v>
      </c>
      <c r="J51" s="94">
        <f>'A-Demande-Miel'!Y$20/7</f>
        <v>0.75110416686842429</v>
      </c>
      <c r="K51" s="94">
        <f>'A-Demande-Miel'!Z$20/7</f>
        <v>1.5022083337368486</v>
      </c>
    </row>
    <row r="52" spans="1:11">
      <c r="A52" s="94">
        <v>27</v>
      </c>
      <c r="B52" s="94">
        <v>3</v>
      </c>
      <c r="C52" s="94">
        <v>61</v>
      </c>
      <c r="D52" s="94" t="s">
        <v>54</v>
      </c>
      <c r="E52" s="94" t="s">
        <v>55</v>
      </c>
      <c r="F52" s="94">
        <f>'A-Demande-Miel'!U$20/7</f>
        <v>8324.1903647827348</v>
      </c>
      <c r="G52" s="94">
        <f>'A-Demande-Miel'!V$20/7</f>
        <v>7575.0132319522891</v>
      </c>
      <c r="H52" s="94">
        <f>'A-Demande-Miel'!W$20/7</f>
        <v>1.1840953577215841E-2</v>
      </c>
      <c r="I52" s="94">
        <f>'A-Demande-Miel'!X$20/7</f>
        <v>15.022083337368484</v>
      </c>
      <c r="J52" s="94">
        <f>'A-Demande-Miel'!Y$20/7</f>
        <v>0.75110416686842429</v>
      </c>
      <c r="K52" s="94">
        <f>'A-Demande-Miel'!Z$20/7</f>
        <v>1.5022083337368486</v>
      </c>
    </row>
    <row r="53" spans="1:11">
      <c r="A53" s="94">
        <v>30</v>
      </c>
      <c r="B53" s="94">
        <v>3</v>
      </c>
      <c r="C53" s="94">
        <v>61</v>
      </c>
      <c r="D53" s="94" t="s">
        <v>60</v>
      </c>
      <c r="E53" s="94" t="s">
        <v>61</v>
      </c>
      <c r="F53" s="94">
        <f>'A-Demande-Miel'!U$20/7</f>
        <v>8324.1903647827348</v>
      </c>
      <c r="G53" s="94">
        <f>'A-Demande-Miel'!V$20/7</f>
        <v>7575.0132319522891</v>
      </c>
      <c r="H53" s="94">
        <f>'A-Demande-Miel'!W$20/7</f>
        <v>1.1840953577215841E-2</v>
      </c>
      <c r="I53" s="94">
        <f>'A-Demande-Miel'!X$20/7</f>
        <v>15.022083337368484</v>
      </c>
      <c r="J53" s="94">
        <f>'A-Demande-Miel'!Y$20/7</f>
        <v>0.75110416686842429</v>
      </c>
      <c r="K53" s="94">
        <f>'A-Demande-Miel'!Z$20/7</f>
        <v>1.5022083337368486</v>
      </c>
    </row>
    <row r="54" spans="1:11">
      <c r="A54" s="94">
        <v>33</v>
      </c>
      <c r="B54" s="94">
        <v>3</v>
      </c>
      <c r="C54" s="94">
        <v>61</v>
      </c>
      <c r="D54" s="94" t="s">
        <v>66</v>
      </c>
      <c r="E54" s="94" t="s">
        <v>67</v>
      </c>
      <c r="F54" s="94">
        <f>'A-Demande-Miel'!U$20/7</f>
        <v>8324.1903647827348</v>
      </c>
      <c r="G54" s="94">
        <f>'A-Demande-Miel'!V$20/7</f>
        <v>7575.0132319522891</v>
      </c>
      <c r="H54" s="94">
        <f>'A-Demande-Miel'!W$20/7</f>
        <v>1.1840953577215841E-2</v>
      </c>
      <c r="I54" s="94">
        <f>'A-Demande-Miel'!X$20/7</f>
        <v>15.022083337368484</v>
      </c>
      <c r="J54" s="94">
        <f>'A-Demande-Miel'!Y$20/7</f>
        <v>0.75110416686842429</v>
      </c>
      <c r="K54" s="94">
        <f>'A-Demande-Miel'!Z$20/7</f>
        <v>1.5022083337368486</v>
      </c>
    </row>
    <row r="55" spans="1:11">
      <c r="A55" s="94">
        <v>35</v>
      </c>
      <c r="B55" s="94">
        <v>3</v>
      </c>
      <c r="C55" s="94">
        <v>61</v>
      </c>
      <c r="D55" s="94" t="s">
        <v>70</v>
      </c>
      <c r="E55" s="94" t="s">
        <v>71</v>
      </c>
      <c r="F55" s="94">
        <f>'A-Demande-Miel'!U$20/7</f>
        <v>8324.1903647827348</v>
      </c>
      <c r="G55" s="94">
        <f>'A-Demande-Miel'!V$20/7</f>
        <v>7575.0132319522891</v>
      </c>
      <c r="H55" s="94">
        <f>'A-Demande-Miel'!W$20/7</f>
        <v>1.1840953577215841E-2</v>
      </c>
      <c r="I55" s="94">
        <f>'A-Demande-Miel'!X$20/7</f>
        <v>15.022083337368484</v>
      </c>
      <c r="J55" s="94">
        <f>'A-Demande-Miel'!Y$20/7</f>
        <v>0.75110416686842429</v>
      </c>
      <c r="K55" s="94">
        <f>'A-Demande-Miel'!Z$20/7</f>
        <v>1.5022083337368486</v>
      </c>
    </row>
    <row r="56" spans="1:11">
      <c r="A56" s="94">
        <v>48</v>
      </c>
      <c r="B56" s="94">
        <v>3</v>
      </c>
      <c r="C56" s="94">
        <v>61</v>
      </c>
      <c r="D56" s="94" t="s">
        <v>96</v>
      </c>
      <c r="E56" s="94" t="s">
        <v>97</v>
      </c>
      <c r="F56" s="94">
        <f>'A-Demande-Miel'!U$20/7</f>
        <v>8324.1903647827348</v>
      </c>
      <c r="G56" s="94">
        <f>'A-Demande-Miel'!V$20/7</f>
        <v>7575.0132319522891</v>
      </c>
      <c r="H56" s="94">
        <f>'A-Demande-Miel'!W$20/7</f>
        <v>1.1840953577215841E-2</v>
      </c>
      <c r="I56" s="94">
        <f>'A-Demande-Miel'!X$20/7</f>
        <v>15.022083337368484</v>
      </c>
      <c r="J56" s="94">
        <f>'A-Demande-Miel'!Y$20/7</f>
        <v>0.75110416686842429</v>
      </c>
      <c r="K56" s="94">
        <f>'A-Demande-Miel'!Z$20/7</f>
        <v>1.5022083337368486</v>
      </c>
    </row>
    <row r="57" spans="1:11">
      <c r="A57" s="94">
        <v>53</v>
      </c>
      <c r="B57" s="94">
        <v>3</v>
      </c>
      <c r="C57" s="94">
        <v>61</v>
      </c>
      <c r="D57" s="94" t="s">
        <v>106</v>
      </c>
      <c r="E57" s="94" t="s">
        <v>107</v>
      </c>
      <c r="F57" s="94">
        <f>'A-Demande-Miel'!U$20/7</f>
        <v>8324.1903647827348</v>
      </c>
      <c r="G57" s="94">
        <f>'A-Demande-Miel'!V$20/7</f>
        <v>7575.0132319522891</v>
      </c>
      <c r="H57" s="94">
        <f>'A-Demande-Miel'!W$20/7</f>
        <v>1.1840953577215841E-2</v>
      </c>
      <c r="I57" s="94">
        <f>'A-Demande-Miel'!X$20/7</f>
        <v>15.022083337368484</v>
      </c>
      <c r="J57" s="94">
        <f>'A-Demande-Miel'!Y$20/7</f>
        <v>0.75110416686842429</v>
      </c>
      <c r="K57" s="94">
        <f>'A-Demande-Miel'!Z$20/7</f>
        <v>1.5022083337368486</v>
      </c>
    </row>
    <row r="58" spans="1:11">
      <c r="A58" s="94">
        <v>31</v>
      </c>
      <c r="B58" s="94">
        <v>1</v>
      </c>
      <c r="C58" s="94">
        <v>76</v>
      </c>
      <c r="D58" s="94" t="s">
        <v>62</v>
      </c>
      <c r="E58" s="94" t="s">
        <v>63</v>
      </c>
      <c r="F58" s="94">
        <f>'A-Demande-Miel'!U$21/9</f>
        <v>4969.9876167961274</v>
      </c>
      <c r="G58" s="94">
        <f>'A-Demande-Miel'!V$21/9</f>
        <v>4522.6887312844756</v>
      </c>
      <c r="H58" s="94">
        <f>'A-Demande-Miel'!W$21/9</f>
        <v>7.0696836654283463E-3</v>
      </c>
      <c r="I58" s="94">
        <f>'A-Demande-Miel'!X$21/9</f>
        <v>8.968988561465876</v>
      </c>
      <c r="J58" s="94">
        <f>'A-Demande-Miel'!Y$21/9</f>
        <v>0.44844942807329385</v>
      </c>
      <c r="K58" s="94">
        <f>'A-Demande-Miel'!Z$21/9</f>
        <v>0.89689885614658771</v>
      </c>
    </row>
    <row r="59" spans="1:11">
      <c r="A59" s="94">
        <v>39</v>
      </c>
      <c r="B59" s="94">
        <v>1</v>
      </c>
      <c r="C59" s="94">
        <v>76</v>
      </c>
      <c r="D59" s="94" t="s">
        <v>78</v>
      </c>
      <c r="E59" s="94" t="s">
        <v>79</v>
      </c>
      <c r="F59" s="94">
        <f>'A-Demande-Miel'!U$21/9</f>
        <v>4969.9876167961274</v>
      </c>
      <c r="G59" s="94">
        <f>'A-Demande-Miel'!V$21/9</f>
        <v>4522.6887312844756</v>
      </c>
      <c r="H59" s="94">
        <f>'A-Demande-Miel'!W$21/9</f>
        <v>7.0696836654283463E-3</v>
      </c>
      <c r="I59" s="94">
        <f>'A-Demande-Miel'!X$21/9</f>
        <v>8.968988561465876</v>
      </c>
      <c r="J59" s="94">
        <f>'A-Demande-Miel'!Y$21/9</f>
        <v>0.44844942807329385</v>
      </c>
      <c r="K59" s="94">
        <f>'A-Demande-Miel'!Z$21/9</f>
        <v>0.89689885614658771</v>
      </c>
    </row>
    <row r="60" spans="1:11">
      <c r="A60" s="94">
        <v>40</v>
      </c>
      <c r="B60" s="94">
        <v>1</v>
      </c>
      <c r="C60" s="94">
        <v>76</v>
      </c>
      <c r="D60" s="94" t="s">
        <v>80</v>
      </c>
      <c r="E60" s="94" t="s">
        <v>81</v>
      </c>
      <c r="F60" s="94">
        <f>'A-Demande-Miel'!U$21/9</f>
        <v>4969.9876167961274</v>
      </c>
      <c r="G60" s="94">
        <f>'A-Demande-Miel'!V$21/9</f>
        <v>4522.6887312844756</v>
      </c>
      <c r="H60" s="94">
        <f>'A-Demande-Miel'!W$21/9</f>
        <v>7.0696836654283463E-3</v>
      </c>
      <c r="I60" s="94">
        <f>'A-Demande-Miel'!X$21/9</f>
        <v>8.968988561465876</v>
      </c>
      <c r="J60" s="94">
        <f>'A-Demande-Miel'!Y$21/9</f>
        <v>0.44844942807329385</v>
      </c>
      <c r="K60" s="94">
        <f>'A-Demande-Miel'!Z$21/9</f>
        <v>0.89689885614658771</v>
      </c>
    </row>
    <row r="61" spans="1:11">
      <c r="A61" s="94">
        <v>42</v>
      </c>
      <c r="B61" s="94">
        <v>1</v>
      </c>
      <c r="C61" s="94">
        <v>76</v>
      </c>
      <c r="D61" s="94" t="s">
        <v>84</v>
      </c>
      <c r="E61" s="94" t="s">
        <v>85</v>
      </c>
      <c r="F61" s="94">
        <f>'A-Demande-Miel'!U$21/9</f>
        <v>4969.9876167961274</v>
      </c>
      <c r="G61" s="94">
        <f>'A-Demande-Miel'!V$21/9</f>
        <v>4522.6887312844756</v>
      </c>
      <c r="H61" s="94">
        <f>'A-Demande-Miel'!W$21/9</f>
        <v>7.0696836654283463E-3</v>
      </c>
      <c r="I61" s="94">
        <f>'A-Demande-Miel'!X$21/9</f>
        <v>8.968988561465876</v>
      </c>
      <c r="J61" s="94">
        <f>'A-Demande-Miel'!Y$21/9</f>
        <v>0.44844942807329385</v>
      </c>
      <c r="K61" s="94">
        <f>'A-Demande-Miel'!Z$21/9</f>
        <v>0.89689885614658771</v>
      </c>
    </row>
    <row r="62" spans="1:11">
      <c r="A62" s="94">
        <v>44</v>
      </c>
      <c r="B62" s="94">
        <v>1</v>
      </c>
      <c r="C62" s="94">
        <v>76</v>
      </c>
      <c r="D62" s="94" t="s">
        <v>88</v>
      </c>
      <c r="E62" s="94" t="s">
        <v>89</v>
      </c>
      <c r="F62" s="94">
        <f>'A-Demande-Miel'!U$21/9</f>
        <v>4969.9876167961274</v>
      </c>
      <c r="G62" s="94">
        <f>'A-Demande-Miel'!V$21/9</f>
        <v>4522.6887312844756</v>
      </c>
      <c r="H62" s="94">
        <f>'A-Demande-Miel'!W$21/9</f>
        <v>7.0696836654283463E-3</v>
      </c>
      <c r="I62" s="94">
        <f>'A-Demande-Miel'!X$21/9</f>
        <v>8.968988561465876</v>
      </c>
      <c r="J62" s="94">
        <f>'A-Demande-Miel'!Y$21/9</f>
        <v>0.44844942807329385</v>
      </c>
      <c r="K62" s="94">
        <f>'A-Demande-Miel'!Z$21/9</f>
        <v>0.89689885614658771</v>
      </c>
    </row>
    <row r="63" spans="1:11">
      <c r="A63" s="94">
        <v>66</v>
      </c>
      <c r="B63" s="94">
        <v>1</v>
      </c>
      <c r="C63" s="94">
        <v>76</v>
      </c>
      <c r="D63" s="94" t="s">
        <v>132</v>
      </c>
      <c r="E63" s="94" t="s">
        <v>133</v>
      </c>
      <c r="F63" s="94">
        <f>'A-Demande-Miel'!U$21/9</f>
        <v>4969.9876167961274</v>
      </c>
      <c r="G63" s="94">
        <f>'A-Demande-Miel'!V$21/9</f>
        <v>4522.6887312844756</v>
      </c>
      <c r="H63" s="94">
        <f>'A-Demande-Miel'!W$21/9</f>
        <v>7.0696836654283463E-3</v>
      </c>
      <c r="I63" s="94">
        <f>'A-Demande-Miel'!X$21/9</f>
        <v>8.968988561465876</v>
      </c>
      <c r="J63" s="94">
        <f>'A-Demande-Miel'!Y$21/9</f>
        <v>0.44844942807329385</v>
      </c>
      <c r="K63" s="94">
        <f>'A-Demande-Miel'!Z$21/9</f>
        <v>0.89689885614658771</v>
      </c>
    </row>
    <row r="64" spans="1:11">
      <c r="A64" s="94">
        <v>67</v>
      </c>
      <c r="B64" s="94">
        <v>1</v>
      </c>
      <c r="C64" s="94">
        <v>76</v>
      </c>
      <c r="D64" s="94" t="s">
        <v>134</v>
      </c>
      <c r="E64" s="94" t="s">
        <v>135</v>
      </c>
      <c r="F64" s="94">
        <f>'A-Demande-Miel'!U$21/9</f>
        <v>4969.9876167961274</v>
      </c>
      <c r="G64" s="94">
        <f>'A-Demande-Miel'!V$21/9</f>
        <v>4522.6887312844756</v>
      </c>
      <c r="H64" s="94">
        <f>'A-Demande-Miel'!W$21/9</f>
        <v>7.0696836654283463E-3</v>
      </c>
      <c r="I64" s="94">
        <f>'A-Demande-Miel'!X$21/9</f>
        <v>8.968988561465876</v>
      </c>
      <c r="J64" s="94">
        <f>'A-Demande-Miel'!Y$21/9</f>
        <v>0.44844942807329385</v>
      </c>
      <c r="K64" s="94">
        <f>'A-Demande-Miel'!Z$21/9</f>
        <v>0.89689885614658771</v>
      </c>
    </row>
    <row r="65" spans="1:11">
      <c r="A65" s="94">
        <v>70</v>
      </c>
      <c r="B65" s="94">
        <v>1</v>
      </c>
      <c r="C65" s="94">
        <v>76</v>
      </c>
      <c r="D65" s="94" t="s">
        <v>140</v>
      </c>
      <c r="E65" s="94" t="s">
        <v>141</v>
      </c>
      <c r="F65" s="94">
        <f>'A-Demande-Miel'!U$21/9</f>
        <v>4969.9876167961274</v>
      </c>
      <c r="G65" s="94">
        <f>'A-Demande-Miel'!V$21/9</f>
        <v>4522.6887312844756</v>
      </c>
      <c r="H65" s="94">
        <f>'A-Demande-Miel'!W$21/9</f>
        <v>7.0696836654283463E-3</v>
      </c>
      <c r="I65" s="94">
        <f>'A-Demande-Miel'!X$21/9</f>
        <v>8.968988561465876</v>
      </c>
      <c r="J65" s="94">
        <f>'A-Demande-Miel'!Y$21/9</f>
        <v>0.44844942807329385</v>
      </c>
      <c r="K65" s="94">
        <f>'A-Demande-Miel'!Z$21/9</f>
        <v>0.89689885614658771</v>
      </c>
    </row>
    <row r="66" spans="1:11">
      <c r="A66" s="94">
        <v>71</v>
      </c>
      <c r="B66" s="94">
        <v>1</v>
      </c>
      <c r="C66" s="94">
        <v>76</v>
      </c>
      <c r="D66" s="94" t="s">
        <v>142</v>
      </c>
      <c r="E66" s="94" t="s">
        <v>143</v>
      </c>
      <c r="F66" s="94">
        <f>'A-Demande-Miel'!U$21/9</f>
        <v>4969.9876167961274</v>
      </c>
      <c r="G66" s="94">
        <f>'A-Demande-Miel'!V$21/9</f>
        <v>4522.6887312844756</v>
      </c>
      <c r="H66" s="94">
        <f>'A-Demande-Miel'!W$21/9</f>
        <v>7.0696836654283463E-3</v>
      </c>
      <c r="I66" s="94">
        <f>'A-Demande-Miel'!X$21/9</f>
        <v>8.968988561465876</v>
      </c>
      <c r="J66" s="94">
        <f>'A-Demande-Miel'!Y$21/9</f>
        <v>0.44844942807329385</v>
      </c>
      <c r="K66" s="94">
        <f>'A-Demande-Miel'!Z$21/9</f>
        <v>0.89689885614658771</v>
      </c>
    </row>
    <row r="67" spans="1:11">
      <c r="A67" s="94">
        <v>1</v>
      </c>
      <c r="B67" s="94">
        <v>2</v>
      </c>
      <c r="C67" s="94">
        <v>76</v>
      </c>
      <c r="D67" s="94" t="s">
        <v>2</v>
      </c>
      <c r="E67" s="94" t="s">
        <v>3</v>
      </c>
      <c r="F67" s="94">
        <f>'A-Demande-Miel'!U$22/4</f>
        <v>11182.472137791287</v>
      </c>
      <c r="G67" s="94">
        <f>'A-Demande-Miel'!V$22/4</f>
        <v>10176.049645390071</v>
      </c>
      <c r="H67" s="94">
        <f>'A-Demande-Miel'!W$22/4</f>
        <v>1.5906788247213779E-2</v>
      </c>
      <c r="I67" s="94">
        <f>'A-Demande-Miel'!X$22/4</f>
        <v>20.180224263298221</v>
      </c>
      <c r="J67" s="94">
        <f>'A-Demande-Miel'!Y$22/4</f>
        <v>1.0090112131649112</v>
      </c>
      <c r="K67" s="94">
        <f>'A-Demande-Miel'!Z$22/4</f>
        <v>2.0180224263298223</v>
      </c>
    </row>
    <row r="68" spans="1:11">
      <c r="A68" s="94">
        <v>41</v>
      </c>
      <c r="B68" s="94">
        <v>2</v>
      </c>
      <c r="C68" s="94">
        <v>76</v>
      </c>
      <c r="D68" s="94" t="s">
        <v>82</v>
      </c>
      <c r="E68" s="94" t="s">
        <v>83</v>
      </c>
      <c r="F68" s="94">
        <f>'A-Demande-Miel'!U$22/4</f>
        <v>11182.472137791287</v>
      </c>
      <c r="G68" s="94">
        <f>'A-Demande-Miel'!V$22/4</f>
        <v>10176.049645390071</v>
      </c>
      <c r="H68" s="94">
        <f>'A-Demande-Miel'!W$22/4</f>
        <v>1.5906788247213779E-2</v>
      </c>
      <c r="I68" s="94">
        <f>'A-Demande-Miel'!X$22/4</f>
        <v>20.180224263298221</v>
      </c>
      <c r="J68" s="94">
        <f>'A-Demande-Miel'!Y$22/4</f>
        <v>1.0090112131649112</v>
      </c>
      <c r="K68" s="94">
        <f>'A-Demande-Miel'!Z$22/4</f>
        <v>2.0180224263298223</v>
      </c>
    </row>
    <row r="69" spans="1:11">
      <c r="A69" s="94">
        <v>54</v>
      </c>
      <c r="B69" s="94">
        <v>2</v>
      </c>
      <c r="C69" s="94">
        <v>76</v>
      </c>
      <c r="D69" s="94" t="s">
        <v>108</v>
      </c>
      <c r="E69" s="94" t="s">
        <v>109</v>
      </c>
      <c r="F69" s="94">
        <f>'A-Demande-Miel'!U$22/4</f>
        <v>11182.472137791287</v>
      </c>
      <c r="G69" s="94">
        <f>'A-Demande-Miel'!V$22/4</f>
        <v>10176.049645390071</v>
      </c>
      <c r="H69" s="94">
        <f>'A-Demande-Miel'!W$22/4</f>
        <v>1.5906788247213779E-2</v>
      </c>
      <c r="I69" s="94">
        <f>'A-Demande-Miel'!X$22/4</f>
        <v>20.180224263298221</v>
      </c>
      <c r="J69" s="94">
        <f>'A-Demande-Miel'!Y$22/4</f>
        <v>1.0090112131649112</v>
      </c>
      <c r="K69" s="94">
        <f>'A-Demande-Miel'!Z$22/4</f>
        <v>2.0180224263298223</v>
      </c>
    </row>
    <row r="70" spans="1:11">
      <c r="A70" s="94">
        <v>65</v>
      </c>
      <c r="B70" s="94">
        <v>2</v>
      </c>
      <c r="C70" s="94">
        <v>76</v>
      </c>
      <c r="D70" s="94" t="s">
        <v>130</v>
      </c>
      <c r="E70" s="94" t="s">
        <v>131</v>
      </c>
      <c r="F70" s="94">
        <f>'A-Demande-Miel'!U$22/4</f>
        <v>11182.472137791287</v>
      </c>
      <c r="G70" s="94">
        <f>'A-Demande-Miel'!V$22/4</f>
        <v>10176.049645390071</v>
      </c>
      <c r="H70" s="94">
        <f>'A-Demande-Miel'!W$22/4</f>
        <v>1.5906788247213779E-2</v>
      </c>
      <c r="I70" s="94">
        <f>'A-Demande-Miel'!X$22/4</f>
        <v>20.180224263298221</v>
      </c>
      <c r="J70" s="94">
        <f>'A-Demande-Miel'!Y$22/4</f>
        <v>1.0090112131649112</v>
      </c>
      <c r="K70" s="94">
        <f>'A-Demande-Miel'!Z$22/4</f>
        <v>2.0180224263298223</v>
      </c>
    </row>
    <row r="71" spans="1:11">
      <c r="A71" s="94">
        <v>2</v>
      </c>
      <c r="B71" s="94">
        <v>3</v>
      </c>
      <c r="C71" s="94">
        <v>76</v>
      </c>
      <c r="D71" s="94" t="s">
        <v>4</v>
      </c>
      <c r="E71" s="94" t="s">
        <v>5</v>
      </c>
      <c r="F71" s="94">
        <f>'A-Demande-Miel'!U$23/5</f>
        <v>8945.9777102330299</v>
      </c>
      <c r="G71" s="94">
        <f>'A-Demande-Miel'!V$23/5</f>
        <v>8140.8397163120562</v>
      </c>
      <c r="H71" s="94">
        <f>'A-Demande-Miel'!W$23/5</f>
        <v>1.2725430597771023E-2</v>
      </c>
      <c r="I71" s="94">
        <f>'A-Demande-Miel'!X$23/5</f>
        <v>16.144179410638579</v>
      </c>
      <c r="J71" s="94">
        <f>'A-Demande-Miel'!Y$23/5</f>
        <v>0.80720897053192897</v>
      </c>
      <c r="K71" s="94">
        <f>'A-Demande-Miel'!Z$23/5</f>
        <v>1.6144179410638579</v>
      </c>
    </row>
    <row r="72" spans="1:11">
      <c r="A72" s="94">
        <v>43</v>
      </c>
      <c r="B72" s="94">
        <v>3</v>
      </c>
      <c r="C72" s="94">
        <v>76</v>
      </c>
      <c r="D72" s="94" t="s">
        <v>86</v>
      </c>
      <c r="E72" s="94" t="s">
        <v>87</v>
      </c>
      <c r="F72" s="94">
        <f>'A-Demande-Miel'!U$23/5</f>
        <v>8945.9777102330299</v>
      </c>
      <c r="G72" s="94">
        <f>'A-Demande-Miel'!V$23/5</f>
        <v>8140.8397163120562</v>
      </c>
      <c r="H72" s="94">
        <f>'A-Demande-Miel'!W$23/5</f>
        <v>1.2725430597771023E-2</v>
      </c>
      <c r="I72" s="94">
        <f>'A-Demande-Miel'!X$23/5</f>
        <v>16.144179410638579</v>
      </c>
      <c r="J72" s="94">
        <f>'A-Demande-Miel'!Y$23/5</f>
        <v>0.80720897053192897</v>
      </c>
      <c r="K72" s="94">
        <f>'A-Demande-Miel'!Z$23/5</f>
        <v>1.6144179410638579</v>
      </c>
    </row>
    <row r="73" spans="1:11">
      <c r="A73" s="94">
        <v>46</v>
      </c>
      <c r="B73" s="94">
        <v>3</v>
      </c>
      <c r="C73" s="94">
        <v>76</v>
      </c>
      <c r="D73" s="94" t="s">
        <v>92</v>
      </c>
      <c r="E73" s="94" t="s">
        <v>93</v>
      </c>
      <c r="F73" s="94">
        <f>'A-Demande-Miel'!U$23/5</f>
        <v>8945.9777102330299</v>
      </c>
      <c r="G73" s="94">
        <f>'A-Demande-Miel'!V$23/5</f>
        <v>8140.8397163120562</v>
      </c>
      <c r="H73" s="94">
        <f>'A-Demande-Miel'!W$23/5</f>
        <v>1.2725430597771023E-2</v>
      </c>
      <c r="I73" s="94">
        <f>'A-Demande-Miel'!X$23/5</f>
        <v>16.144179410638579</v>
      </c>
      <c r="J73" s="94">
        <f>'A-Demande-Miel'!Y$23/5</f>
        <v>0.80720897053192897</v>
      </c>
      <c r="K73" s="94">
        <f>'A-Demande-Miel'!Z$23/5</f>
        <v>1.6144179410638579</v>
      </c>
    </row>
    <row r="74" spans="1:11">
      <c r="A74" s="94">
        <v>68</v>
      </c>
      <c r="B74" s="94">
        <v>3</v>
      </c>
      <c r="C74" s="94">
        <v>76</v>
      </c>
      <c r="D74" s="94" t="s">
        <v>136</v>
      </c>
      <c r="E74" s="94" t="s">
        <v>137</v>
      </c>
      <c r="F74" s="94">
        <f>'A-Demande-Miel'!U$23/5</f>
        <v>8945.9777102330299</v>
      </c>
      <c r="G74" s="94">
        <f>'A-Demande-Miel'!V$23/5</f>
        <v>8140.8397163120562</v>
      </c>
      <c r="H74" s="94">
        <f>'A-Demande-Miel'!W$23/5</f>
        <v>1.2725430597771023E-2</v>
      </c>
      <c r="I74" s="94">
        <f>'A-Demande-Miel'!X$23/5</f>
        <v>16.144179410638579</v>
      </c>
      <c r="J74" s="94">
        <f>'A-Demande-Miel'!Y$23/5</f>
        <v>0.80720897053192897</v>
      </c>
      <c r="K74" s="94">
        <f>'A-Demande-Miel'!Z$23/5</f>
        <v>1.6144179410638579</v>
      </c>
    </row>
    <row r="75" spans="1:11">
      <c r="A75" s="94">
        <v>69</v>
      </c>
      <c r="B75" s="94">
        <v>3</v>
      </c>
      <c r="C75" s="94">
        <v>76</v>
      </c>
      <c r="D75" s="94" t="s">
        <v>138</v>
      </c>
      <c r="E75" s="94" t="s">
        <v>139</v>
      </c>
      <c r="F75" s="94">
        <f>'A-Demande-Miel'!U$23/5</f>
        <v>8945.9777102330299</v>
      </c>
      <c r="G75" s="94">
        <f>'A-Demande-Miel'!V$23/5</f>
        <v>8140.8397163120562</v>
      </c>
      <c r="H75" s="94">
        <f>'A-Demande-Miel'!W$23/5</f>
        <v>1.2725430597771023E-2</v>
      </c>
      <c r="I75" s="94">
        <f>'A-Demande-Miel'!X$23/5</f>
        <v>16.144179410638579</v>
      </c>
      <c r="J75" s="94">
        <f>'A-Demande-Miel'!Y$23/5</f>
        <v>0.80720897053192897</v>
      </c>
      <c r="K75" s="94">
        <f>'A-Demande-Miel'!Z$23/5</f>
        <v>1.6144179410638579</v>
      </c>
    </row>
    <row r="76" spans="1:11">
      <c r="F76" s="95">
        <f>SUM(F5:F75)</f>
        <v>703000.00000000058</v>
      </c>
      <c r="G76" s="95">
        <f t="shared" ref="G76:K76" si="0">SUM(G5:G75)</f>
        <v>639729.99999999977</v>
      </c>
      <c r="H76" s="95">
        <f t="shared" si="0"/>
        <v>0.99999999999999978</v>
      </c>
      <c r="I76" s="95">
        <f t="shared" si="0"/>
        <v>1268.6548629219972</v>
      </c>
      <c r="J76" s="95">
        <f t="shared" si="0"/>
        <v>63.432743146099824</v>
      </c>
      <c r="K76" s="95">
        <f t="shared" si="0"/>
        <v>126.86548629219965</v>
      </c>
    </row>
  </sheetData>
  <sheetProtection sheet="1" objects="1" scenarios="1"/>
  <sortState xmlns:xlrd2="http://schemas.microsoft.com/office/spreadsheetml/2017/richdata2" ref="A5:P75">
    <sortCondition ref="A5:A75"/>
  </sortState>
  <mergeCells count="5">
    <mergeCell ref="N3:O3"/>
    <mergeCell ref="F3:K3"/>
    <mergeCell ref="D3:E3"/>
    <mergeCell ref="A3:C3"/>
    <mergeCell ref="R3:W3"/>
  </mergeCells>
  <pageMargins left="0.7" right="0.7" top="0.75" bottom="0.75" header="0.3" footer="0.3"/>
  <drawing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80A18-31B7-4488-A5C5-0F7C56F44818}">
  <dimension ref="B3:J13"/>
  <sheetViews>
    <sheetView workbookViewId="0">
      <selection activeCell="C8" sqref="C8"/>
    </sheetView>
  </sheetViews>
  <sheetFormatPr baseColWidth="10" defaultRowHeight="15"/>
  <cols>
    <col min="1" max="1" width="11" style="110"/>
    <col min="2" max="2" width="14" style="110" customWidth="1"/>
    <col min="3" max="3" width="38" style="110" customWidth="1"/>
    <col min="4" max="4" width="27.75" style="110" customWidth="1"/>
    <col min="5" max="5" width="27.375" style="110" customWidth="1"/>
    <col min="6" max="6" width="28" style="110" customWidth="1"/>
    <col min="7" max="7" width="30.125" style="110" customWidth="1"/>
    <col min="8" max="8" width="20.5" style="110" customWidth="1"/>
    <col min="9" max="9" width="21.875" style="110" customWidth="1"/>
    <col min="10" max="16384" width="11" style="110"/>
  </cols>
  <sheetData>
    <row r="3" spans="2:10" ht="31.5" customHeight="1">
      <c r="B3" s="113"/>
      <c r="C3" s="160" t="s">
        <v>790</v>
      </c>
      <c r="D3" s="160"/>
      <c r="E3" s="160"/>
      <c r="F3" s="160" t="s">
        <v>789</v>
      </c>
      <c r="G3" s="160"/>
      <c r="H3" s="160"/>
      <c r="I3" s="160" t="s">
        <v>788</v>
      </c>
      <c r="J3" s="160" t="s">
        <v>787</v>
      </c>
    </row>
    <row r="4" spans="2:10" ht="42.75" customHeight="1">
      <c r="B4" s="113" t="s">
        <v>786</v>
      </c>
      <c r="C4" s="113" t="s">
        <v>785</v>
      </c>
      <c r="D4" s="113" t="s">
        <v>782</v>
      </c>
      <c r="E4" s="113" t="s">
        <v>784</v>
      </c>
      <c r="F4" s="113" t="s">
        <v>783</v>
      </c>
      <c r="G4" s="113" t="s">
        <v>782</v>
      </c>
      <c r="H4" s="113" t="s">
        <v>781</v>
      </c>
      <c r="I4" s="160"/>
      <c r="J4" s="160"/>
    </row>
    <row r="5" spans="2:10" ht="138" customHeight="1">
      <c r="B5" s="113" t="s">
        <v>378</v>
      </c>
      <c r="C5" s="111" t="s">
        <v>780</v>
      </c>
      <c r="D5" s="111" t="s">
        <v>779</v>
      </c>
      <c r="E5" s="111" t="s">
        <v>778</v>
      </c>
      <c r="F5" s="111" t="s">
        <v>777</v>
      </c>
      <c r="G5" s="111" t="s">
        <v>776</v>
      </c>
      <c r="H5" s="111" t="s">
        <v>775</v>
      </c>
      <c r="I5" s="111" t="s">
        <v>774</v>
      </c>
      <c r="J5" s="111" t="s">
        <v>728</v>
      </c>
    </row>
    <row r="6" spans="2:10" ht="180">
      <c r="B6" s="113" t="s">
        <v>773</v>
      </c>
      <c r="C6" s="111" t="s">
        <v>772</v>
      </c>
      <c r="D6" s="111" t="s">
        <v>771</v>
      </c>
      <c r="E6" s="111" t="s">
        <v>770</v>
      </c>
      <c r="F6" s="111" t="s">
        <v>769</v>
      </c>
      <c r="G6" s="111" t="s">
        <v>768</v>
      </c>
      <c r="H6" s="111" t="s">
        <v>767</v>
      </c>
      <c r="I6" s="111" t="s">
        <v>766</v>
      </c>
      <c r="J6" s="111" t="s">
        <v>728</v>
      </c>
    </row>
    <row r="7" spans="2:10" ht="188.25" customHeight="1">
      <c r="B7" s="113" t="s">
        <v>791</v>
      </c>
      <c r="C7" s="111" t="s">
        <v>765</v>
      </c>
      <c r="D7" s="111" t="s">
        <v>764</v>
      </c>
      <c r="E7" s="111" t="s">
        <v>763</v>
      </c>
      <c r="F7" s="111" t="s">
        <v>762</v>
      </c>
      <c r="G7" s="111" t="s">
        <v>761</v>
      </c>
      <c r="H7" s="111" t="s">
        <v>760</v>
      </c>
      <c r="I7" s="111" t="s">
        <v>759</v>
      </c>
      <c r="J7" s="111" t="s">
        <v>153</v>
      </c>
    </row>
    <row r="8" spans="2:10" ht="220.5" customHeight="1">
      <c r="B8" s="113" t="s">
        <v>758</v>
      </c>
      <c r="C8" s="111" t="s">
        <v>757</v>
      </c>
      <c r="D8" s="111" t="s">
        <v>756</v>
      </c>
      <c r="E8" s="111" t="s">
        <v>755</v>
      </c>
      <c r="F8" s="111" t="s">
        <v>754</v>
      </c>
      <c r="G8" s="111" t="s">
        <v>753</v>
      </c>
      <c r="H8" s="111" t="s">
        <v>752</v>
      </c>
      <c r="I8" s="111" t="s">
        <v>744</v>
      </c>
      <c r="J8" s="114" t="s">
        <v>153</v>
      </c>
    </row>
    <row r="9" spans="2:10" ht="120">
      <c r="B9" s="113" t="s">
        <v>751</v>
      </c>
      <c r="C9" s="111" t="s">
        <v>750</v>
      </c>
      <c r="D9" s="111" t="s">
        <v>749</v>
      </c>
      <c r="E9" s="111" t="s">
        <v>748</v>
      </c>
      <c r="F9" s="111" t="s">
        <v>747</v>
      </c>
      <c r="G9" s="111" t="s">
        <v>746</v>
      </c>
      <c r="H9" s="111" t="s">
        <v>745</v>
      </c>
      <c r="I9" s="111" t="s">
        <v>744</v>
      </c>
      <c r="J9" s="111" t="s">
        <v>153</v>
      </c>
    </row>
    <row r="10" spans="2:10" ht="135">
      <c r="B10" s="113" t="s">
        <v>743</v>
      </c>
      <c r="C10" s="111" t="s">
        <v>742</v>
      </c>
      <c r="D10" s="111" t="s">
        <v>741</v>
      </c>
      <c r="E10" s="111" t="s">
        <v>740</v>
      </c>
      <c r="F10" s="111" t="s">
        <v>739</v>
      </c>
      <c r="G10" s="111" t="s">
        <v>738</v>
      </c>
      <c r="H10" s="111" t="s">
        <v>737</v>
      </c>
      <c r="I10" s="111" t="s">
        <v>736</v>
      </c>
      <c r="J10" s="111" t="s">
        <v>728</v>
      </c>
    </row>
    <row r="11" spans="2:10" ht="84" customHeight="1">
      <c r="B11" s="113" t="s">
        <v>447</v>
      </c>
      <c r="C11" s="111" t="s">
        <v>735</v>
      </c>
      <c r="D11" s="111" t="s">
        <v>734</v>
      </c>
      <c r="E11" s="111" t="s">
        <v>733</v>
      </c>
      <c r="F11" s="111" t="s">
        <v>732</v>
      </c>
      <c r="G11" s="111" t="s">
        <v>731</v>
      </c>
      <c r="H11" s="111" t="s">
        <v>730</v>
      </c>
      <c r="I11" s="111" t="s">
        <v>729</v>
      </c>
      <c r="J11" s="111" t="s">
        <v>728</v>
      </c>
    </row>
    <row r="12" spans="2:10" ht="135">
      <c r="B12" s="113" t="s">
        <v>727</v>
      </c>
      <c r="C12" s="112" t="s">
        <v>726</v>
      </c>
      <c r="D12" s="112" t="s">
        <v>725</v>
      </c>
      <c r="E12" s="112" t="s">
        <v>724</v>
      </c>
      <c r="F12" s="112" t="s">
        <v>723</v>
      </c>
      <c r="G12" s="112" t="s">
        <v>722</v>
      </c>
      <c r="H12" s="112" t="s">
        <v>721</v>
      </c>
      <c r="I12" s="112" t="s">
        <v>720</v>
      </c>
      <c r="J12" s="111" t="s">
        <v>719</v>
      </c>
    </row>
    <row r="13" spans="2:10" ht="51" customHeight="1">
      <c r="B13" s="158" t="s">
        <v>718</v>
      </c>
      <c r="C13" s="159"/>
      <c r="D13" s="159"/>
      <c r="E13" s="159"/>
      <c r="F13" s="159"/>
      <c r="G13" s="159"/>
      <c r="H13" s="159"/>
      <c r="I13" s="159"/>
      <c r="J13" s="159"/>
    </row>
  </sheetData>
  <sheetProtection sheet="1" objects="1" scenarios="1"/>
  <mergeCells count="5">
    <mergeCell ref="B13:J13"/>
    <mergeCell ref="I3:I4"/>
    <mergeCell ref="J3:J4"/>
    <mergeCell ref="C3:E3"/>
    <mergeCell ref="F3:H3"/>
  </mergeCells>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
  <dimension ref="A1:K75"/>
  <sheetViews>
    <sheetView topLeftCell="A4" zoomScale="124" zoomScaleNormal="124" workbookViewId="0">
      <selection activeCell="L17" sqref="L17"/>
    </sheetView>
  </sheetViews>
  <sheetFormatPr baseColWidth="10" defaultRowHeight="15.75"/>
  <cols>
    <col min="2" max="2" width="16.875" customWidth="1"/>
    <col min="3" max="4" width="11" customWidth="1"/>
    <col min="5" max="5" width="40.875" customWidth="1"/>
    <col min="6" max="8" width="12.375" customWidth="1"/>
    <col min="9" max="9" width="21.5" customWidth="1"/>
    <col min="10" max="10" width="17.625" customWidth="1"/>
    <col min="11" max="11" width="11.25" customWidth="1"/>
  </cols>
  <sheetData>
    <row r="1" spans="1:11" hidden="1">
      <c r="E1" t="s">
        <v>153</v>
      </c>
      <c r="F1" t="s">
        <v>153</v>
      </c>
      <c r="G1" s="86" t="s">
        <v>646</v>
      </c>
      <c r="J1" t="s">
        <v>645</v>
      </c>
    </row>
    <row r="2" spans="1:11" hidden="1">
      <c r="G2" s="86"/>
    </row>
    <row r="3" spans="1:11" hidden="1"/>
    <row r="4" spans="1:11">
      <c r="A4" t="s">
        <v>152</v>
      </c>
      <c r="B4" t="s">
        <v>144</v>
      </c>
      <c r="C4" t="s">
        <v>145</v>
      </c>
      <c r="D4" t="s">
        <v>151</v>
      </c>
      <c r="E4" s="1" t="s">
        <v>0</v>
      </c>
      <c r="F4" s="1" t="s">
        <v>1</v>
      </c>
      <c r="G4" s="86" t="s">
        <v>648</v>
      </c>
      <c r="H4" t="s">
        <v>147</v>
      </c>
      <c r="I4" t="s">
        <v>150</v>
      </c>
      <c r="J4" s="2" t="s">
        <v>148</v>
      </c>
      <c r="K4" s="2" t="s">
        <v>149</v>
      </c>
    </row>
    <row r="5" spans="1:11">
      <c r="A5">
        <v>22</v>
      </c>
      <c r="B5">
        <v>1</v>
      </c>
      <c r="C5">
        <v>14</v>
      </c>
      <c r="D5">
        <f t="shared" ref="D5:D36" si="0">A5</f>
        <v>22</v>
      </c>
      <c r="E5" t="s">
        <v>44</v>
      </c>
      <c r="F5" t="s">
        <v>45</v>
      </c>
      <c r="G5">
        <v>26438</v>
      </c>
      <c r="H5">
        <v>671</v>
      </c>
      <c r="I5">
        <v>0.14241001564945227</v>
      </c>
      <c r="J5" s="3">
        <v>742.97859379509816</v>
      </c>
      <c r="K5" s="3">
        <v>682.39521383510362</v>
      </c>
    </row>
    <row r="6" spans="1:11">
      <c r="A6">
        <v>36</v>
      </c>
      <c r="B6">
        <v>1</v>
      </c>
      <c r="C6">
        <v>14</v>
      </c>
      <c r="D6">
        <f t="shared" si="0"/>
        <v>36</v>
      </c>
      <c r="E6" t="s">
        <v>72</v>
      </c>
      <c r="F6" t="s">
        <v>73</v>
      </c>
      <c r="G6">
        <v>17303</v>
      </c>
      <c r="H6">
        <v>182</v>
      </c>
      <c r="I6">
        <v>0.18</v>
      </c>
      <c r="J6">
        <v>922.57622827369039</v>
      </c>
      <c r="K6">
        <v>694.35272352832465</v>
      </c>
    </row>
    <row r="7" spans="1:11">
      <c r="A7">
        <v>58</v>
      </c>
      <c r="B7">
        <v>1</v>
      </c>
      <c r="C7">
        <v>14</v>
      </c>
      <c r="D7">
        <f t="shared" si="0"/>
        <v>58</v>
      </c>
      <c r="E7" t="s">
        <v>116</v>
      </c>
      <c r="F7" t="s">
        <v>117</v>
      </c>
      <c r="G7">
        <v>29775</v>
      </c>
      <c r="H7">
        <v>246</v>
      </c>
      <c r="I7">
        <v>0.15736040609137056</v>
      </c>
      <c r="J7">
        <v>742.97859379509816</v>
      </c>
      <c r="K7">
        <v>682.39521383510362</v>
      </c>
    </row>
    <row r="8" spans="1:11">
      <c r="A8">
        <v>12</v>
      </c>
      <c r="B8">
        <v>2</v>
      </c>
      <c r="C8">
        <v>14</v>
      </c>
      <c r="D8">
        <f t="shared" si="0"/>
        <v>12</v>
      </c>
      <c r="E8" t="s">
        <v>24</v>
      </c>
      <c r="F8" t="s">
        <v>25</v>
      </c>
      <c r="G8">
        <v>18706</v>
      </c>
      <c r="H8">
        <v>60</v>
      </c>
      <c r="I8">
        <v>0.22641509433962265</v>
      </c>
      <c r="J8">
        <v>761.41137728302783</v>
      </c>
      <c r="K8">
        <v>753.87943020558782</v>
      </c>
    </row>
    <row r="9" spans="1:11">
      <c r="A9">
        <v>13</v>
      </c>
      <c r="B9">
        <v>2</v>
      </c>
      <c r="C9">
        <v>14</v>
      </c>
      <c r="D9">
        <f t="shared" si="0"/>
        <v>13</v>
      </c>
      <c r="E9" t="s">
        <v>26</v>
      </c>
      <c r="F9" t="s">
        <v>27</v>
      </c>
      <c r="G9">
        <v>272343</v>
      </c>
      <c r="H9">
        <v>416</v>
      </c>
      <c r="I9">
        <v>0.14828897338403041</v>
      </c>
      <c r="J9">
        <v>615.56256742036123</v>
      </c>
      <c r="K9">
        <v>589.49711221743905</v>
      </c>
    </row>
    <row r="10" spans="1:11">
      <c r="A10">
        <v>20</v>
      </c>
      <c r="B10">
        <v>2</v>
      </c>
      <c r="C10">
        <v>14</v>
      </c>
      <c r="D10">
        <f t="shared" si="0"/>
        <v>20</v>
      </c>
      <c r="E10" t="s">
        <v>40</v>
      </c>
      <c r="F10" t="s">
        <v>41</v>
      </c>
      <c r="G10">
        <v>24668</v>
      </c>
      <c r="H10">
        <v>268</v>
      </c>
      <c r="I10">
        <v>0.18245614035087721</v>
      </c>
      <c r="J10">
        <v>898.7029008979232</v>
      </c>
      <c r="K10">
        <v>855.02240829998902</v>
      </c>
    </row>
    <row r="11" spans="1:11">
      <c r="A11">
        <v>21</v>
      </c>
      <c r="B11">
        <v>2</v>
      </c>
      <c r="C11">
        <v>14</v>
      </c>
      <c r="D11">
        <f t="shared" si="0"/>
        <v>21</v>
      </c>
      <c r="E11" t="s">
        <v>42</v>
      </c>
      <c r="F11" t="s">
        <v>43</v>
      </c>
      <c r="G11">
        <v>25881</v>
      </c>
      <c r="H11">
        <v>117</v>
      </c>
      <c r="I11">
        <v>0.28947368421052633</v>
      </c>
      <c r="J11">
        <v>622.85659655009727</v>
      </c>
      <c r="K11">
        <v>609.96482784563045</v>
      </c>
    </row>
    <row r="12" spans="1:11">
      <c r="A12">
        <v>57</v>
      </c>
      <c r="B12">
        <v>2</v>
      </c>
      <c r="C12">
        <v>14</v>
      </c>
      <c r="D12">
        <f t="shared" si="0"/>
        <v>57</v>
      </c>
      <c r="E12" t="s">
        <v>114</v>
      </c>
      <c r="F12" t="s">
        <v>115</v>
      </c>
      <c r="G12">
        <v>27565</v>
      </c>
      <c r="H12">
        <v>324</v>
      </c>
      <c r="I12">
        <v>0.17336683417085427</v>
      </c>
      <c r="J12">
        <v>723.13408977106292</v>
      </c>
      <c r="K12">
        <v>689.18757221679823</v>
      </c>
    </row>
    <row r="13" spans="1:11">
      <c r="A13">
        <v>59</v>
      </c>
      <c r="B13">
        <v>2</v>
      </c>
      <c r="C13">
        <v>14</v>
      </c>
      <c r="D13">
        <f t="shared" si="0"/>
        <v>59</v>
      </c>
      <c r="E13" t="s">
        <v>118</v>
      </c>
      <c r="F13" t="s">
        <v>119</v>
      </c>
      <c r="G13">
        <v>23864</v>
      </c>
      <c r="H13">
        <v>80</v>
      </c>
      <c r="I13">
        <v>0.16666666666666666</v>
      </c>
      <c r="J13">
        <v>997.43226019440579</v>
      </c>
      <c r="K13">
        <v>786.61434522597131</v>
      </c>
    </row>
    <row r="14" spans="1:11">
      <c r="A14">
        <v>11</v>
      </c>
      <c r="B14">
        <v>3</v>
      </c>
      <c r="C14">
        <v>14</v>
      </c>
      <c r="D14">
        <f t="shared" si="0"/>
        <v>11</v>
      </c>
      <c r="E14" t="s">
        <v>22</v>
      </c>
      <c r="F14" t="s">
        <v>23</v>
      </c>
      <c r="G14">
        <v>31329</v>
      </c>
      <c r="H14">
        <v>154</v>
      </c>
      <c r="I14">
        <v>0.25416666666666665</v>
      </c>
      <c r="J14">
        <v>1005.1317072618504</v>
      </c>
      <c r="K14">
        <v>628.35802651095685</v>
      </c>
    </row>
    <row r="15" spans="1:11">
      <c r="A15">
        <v>23</v>
      </c>
      <c r="B15">
        <v>3</v>
      </c>
      <c r="C15">
        <v>14</v>
      </c>
      <c r="D15">
        <f t="shared" si="0"/>
        <v>23</v>
      </c>
      <c r="E15" t="s">
        <v>46</v>
      </c>
      <c r="F15" t="s">
        <v>47</v>
      </c>
      <c r="G15">
        <v>27172</v>
      </c>
      <c r="H15">
        <v>165</v>
      </c>
      <c r="I15">
        <v>0.27058823529411763</v>
      </c>
      <c r="J15">
        <v>779.37909698558644</v>
      </c>
      <c r="K15">
        <v>687.40124279317331</v>
      </c>
    </row>
    <row r="16" spans="1:11">
      <c r="A16">
        <v>38</v>
      </c>
      <c r="B16">
        <v>3</v>
      </c>
      <c r="C16">
        <v>14</v>
      </c>
      <c r="D16">
        <f t="shared" si="0"/>
        <v>38</v>
      </c>
      <c r="E16" t="s">
        <v>76</v>
      </c>
      <c r="F16" t="s">
        <v>77</v>
      </c>
      <c r="G16">
        <v>72916</v>
      </c>
      <c r="H16">
        <v>929</v>
      </c>
      <c r="I16">
        <v>0.18871794871794872</v>
      </c>
      <c r="J16">
        <v>701.22006211031794</v>
      </c>
      <c r="K16">
        <v>653.60264690522467</v>
      </c>
    </row>
    <row r="17" spans="1:11">
      <c r="A17">
        <v>56</v>
      </c>
      <c r="B17">
        <v>3</v>
      </c>
      <c r="C17">
        <v>14</v>
      </c>
      <c r="D17">
        <f t="shared" si="0"/>
        <v>56</v>
      </c>
      <c r="E17" t="s">
        <v>112</v>
      </c>
      <c r="F17" t="s">
        <v>113</v>
      </c>
      <c r="G17">
        <v>20605</v>
      </c>
      <c r="H17">
        <v>89</v>
      </c>
      <c r="I17">
        <v>0.21739130434782608</v>
      </c>
      <c r="J17">
        <v>1549.3626389931601</v>
      </c>
      <c r="K17">
        <v>675.87485290520124</v>
      </c>
    </row>
    <row r="18" spans="1:11">
      <c r="A18">
        <v>60</v>
      </c>
      <c r="B18">
        <v>3</v>
      </c>
      <c r="C18">
        <v>14</v>
      </c>
      <c r="D18">
        <f t="shared" si="0"/>
        <v>60</v>
      </c>
      <c r="E18" t="s">
        <v>120</v>
      </c>
      <c r="F18" t="s">
        <v>121</v>
      </c>
      <c r="G18">
        <v>19404</v>
      </c>
      <c r="H18">
        <v>194</v>
      </c>
      <c r="I18">
        <v>0.17484662576687116</v>
      </c>
      <c r="J18">
        <v>1051.1998400387347</v>
      </c>
      <c r="K18">
        <v>900.72133532971338</v>
      </c>
    </row>
    <row r="19" spans="1:11">
      <c r="A19">
        <v>32</v>
      </c>
      <c r="B19">
        <v>4</v>
      </c>
      <c r="C19">
        <v>14</v>
      </c>
      <c r="D19">
        <f t="shared" si="0"/>
        <v>32</v>
      </c>
      <c r="E19" t="s">
        <v>64</v>
      </c>
      <c r="F19" t="s">
        <v>65</v>
      </c>
      <c r="G19">
        <v>46376</v>
      </c>
      <c r="H19">
        <v>951</v>
      </c>
      <c r="I19">
        <v>0.11791383219954649</v>
      </c>
      <c r="J19">
        <v>634.80485378546121</v>
      </c>
      <c r="K19">
        <v>591.98071682374359</v>
      </c>
    </row>
    <row r="20" spans="1:11">
      <c r="A20">
        <v>37</v>
      </c>
      <c r="B20">
        <v>4</v>
      </c>
      <c r="C20">
        <v>14</v>
      </c>
      <c r="D20">
        <f t="shared" si="0"/>
        <v>37</v>
      </c>
      <c r="E20" t="s">
        <v>74</v>
      </c>
      <c r="F20" t="s">
        <v>75</v>
      </c>
      <c r="G20">
        <v>24818</v>
      </c>
      <c r="H20">
        <v>415</v>
      </c>
      <c r="I20">
        <v>0.1425233644859813</v>
      </c>
      <c r="J20">
        <v>568.71284238299188</v>
      </c>
      <c r="K20">
        <v>551.35775564360483</v>
      </c>
    </row>
    <row r="21" spans="1:11">
      <c r="A21">
        <v>45</v>
      </c>
      <c r="B21">
        <v>1</v>
      </c>
      <c r="C21">
        <v>27</v>
      </c>
      <c r="D21">
        <f t="shared" si="0"/>
        <v>45</v>
      </c>
      <c r="E21" t="s">
        <v>90</v>
      </c>
      <c r="F21" t="s">
        <v>91</v>
      </c>
      <c r="G21">
        <v>20656</v>
      </c>
      <c r="H21">
        <v>184</v>
      </c>
      <c r="I21">
        <v>0.11764705882352941</v>
      </c>
      <c r="J21">
        <v>654.79064654040849</v>
      </c>
      <c r="K21">
        <v>623.40879232724194</v>
      </c>
    </row>
    <row r="22" spans="1:11">
      <c r="A22">
        <v>51</v>
      </c>
      <c r="B22">
        <v>1</v>
      </c>
      <c r="C22">
        <v>27</v>
      </c>
      <c r="D22">
        <f t="shared" si="0"/>
        <v>51</v>
      </c>
      <c r="E22" t="s">
        <v>102</v>
      </c>
      <c r="F22" t="s">
        <v>103</v>
      </c>
      <c r="G22">
        <v>32661</v>
      </c>
      <c r="H22">
        <v>177</v>
      </c>
      <c r="I22">
        <v>0.15151515151515152</v>
      </c>
      <c r="J22">
        <v>589.6035158357123</v>
      </c>
      <c r="K22">
        <v>573.18001957287913</v>
      </c>
    </row>
    <row r="23" spans="1:11">
      <c r="A23">
        <v>52</v>
      </c>
      <c r="B23">
        <v>1</v>
      </c>
      <c r="C23">
        <v>27</v>
      </c>
      <c r="D23">
        <f t="shared" si="0"/>
        <v>52</v>
      </c>
      <c r="E23" t="s">
        <v>104</v>
      </c>
      <c r="F23" t="s">
        <v>105</v>
      </c>
      <c r="G23">
        <v>82615</v>
      </c>
      <c r="H23">
        <v>308</v>
      </c>
      <c r="I23">
        <v>0.13392857142857142</v>
      </c>
      <c r="J23">
        <v>746.78844979379141</v>
      </c>
      <c r="K23">
        <v>705.83728680146282</v>
      </c>
    </row>
    <row r="24" spans="1:11">
      <c r="A24">
        <v>55</v>
      </c>
      <c r="B24">
        <v>1</v>
      </c>
      <c r="C24">
        <v>27</v>
      </c>
      <c r="D24">
        <f t="shared" si="0"/>
        <v>55</v>
      </c>
      <c r="E24" t="s">
        <v>110</v>
      </c>
      <c r="F24" t="s">
        <v>111</v>
      </c>
      <c r="G24">
        <v>103175</v>
      </c>
      <c r="H24">
        <v>193</v>
      </c>
      <c r="I24">
        <v>0.23394495412844038</v>
      </c>
      <c r="J24">
        <v>597.45532001195477</v>
      </c>
      <c r="K24">
        <v>576.47561700724316</v>
      </c>
    </row>
    <row r="25" spans="1:11">
      <c r="A25">
        <v>14</v>
      </c>
      <c r="B25">
        <v>2</v>
      </c>
      <c r="C25">
        <v>27</v>
      </c>
      <c r="D25">
        <f t="shared" si="0"/>
        <v>14</v>
      </c>
      <c r="E25" t="s">
        <v>28</v>
      </c>
      <c r="F25" t="s">
        <v>29</v>
      </c>
      <c r="G25">
        <v>32651</v>
      </c>
      <c r="H25">
        <v>156</v>
      </c>
      <c r="I25">
        <v>0.18947368421052632</v>
      </c>
      <c r="J25">
        <v>625.29061888294996</v>
      </c>
      <c r="K25">
        <v>592.31491634778877</v>
      </c>
    </row>
    <row r="26" spans="1:11">
      <c r="A26">
        <v>15</v>
      </c>
      <c r="B26">
        <v>2</v>
      </c>
      <c r="C26">
        <v>27</v>
      </c>
      <c r="D26">
        <f t="shared" si="0"/>
        <v>15</v>
      </c>
      <c r="E26" t="s">
        <v>30</v>
      </c>
      <c r="F26" t="s">
        <v>31</v>
      </c>
      <c r="G26">
        <v>20456</v>
      </c>
      <c r="H26">
        <v>318</v>
      </c>
      <c r="I26">
        <v>0.12280701754385964</v>
      </c>
      <c r="J26">
        <v>639.55934720390292</v>
      </c>
      <c r="K26">
        <v>574.13924836667945</v>
      </c>
    </row>
    <row r="27" spans="1:11">
      <c r="A27">
        <v>17</v>
      </c>
      <c r="B27">
        <v>2</v>
      </c>
      <c r="C27">
        <v>27</v>
      </c>
      <c r="D27">
        <f t="shared" si="0"/>
        <v>17</v>
      </c>
      <c r="E27" t="s">
        <v>34</v>
      </c>
      <c r="F27" t="s">
        <v>35</v>
      </c>
      <c r="G27">
        <v>41424</v>
      </c>
      <c r="H27">
        <v>273</v>
      </c>
      <c r="I27">
        <v>0.155893536121673</v>
      </c>
      <c r="J27">
        <v>703.53513536344042</v>
      </c>
      <c r="K27">
        <v>682.40693076545858</v>
      </c>
    </row>
    <row r="28" spans="1:11">
      <c r="A28">
        <v>18</v>
      </c>
      <c r="B28">
        <v>2</v>
      </c>
      <c r="C28">
        <v>27</v>
      </c>
      <c r="D28">
        <f t="shared" si="0"/>
        <v>18</v>
      </c>
      <c r="E28" t="s">
        <v>36</v>
      </c>
      <c r="F28" t="s">
        <v>37</v>
      </c>
      <c r="G28">
        <v>54442</v>
      </c>
      <c r="H28">
        <v>587</v>
      </c>
      <c r="I28">
        <v>0.13049853372434017</v>
      </c>
      <c r="J28">
        <v>683.18627468535203</v>
      </c>
      <c r="K28">
        <v>627.97593671484469</v>
      </c>
    </row>
    <row r="29" spans="1:11">
      <c r="A29">
        <v>19</v>
      </c>
      <c r="B29">
        <v>2</v>
      </c>
      <c r="C29">
        <v>27</v>
      </c>
      <c r="D29">
        <f t="shared" si="0"/>
        <v>19</v>
      </c>
      <c r="E29" t="s">
        <v>38</v>
      </c>
      <c r="F29" t="s">
        <v>39</v>
      </c>
      <c r="G29">
        <v>37613</v>
      </c>
      <c r="H29">
        <v>466</v>
      </c>
      <c r="I29">
        <v>0.10975609756097561</v>
      </c>
      <c r="J29">
        <v>613.09541748410425</v>
      </c>
      <c r="K29">
        <v>549.35708005846118</v>
      </c>
    </row>
    <row r="30" spans="1:11">
      <c r="A30">
        <v>62</v>
      </c>
      <c r="B30">
        <v>2</v>
      </c>
      <c r="C30">
        <v>27</v>
      </c>
      <c r="D30">
        <f t="shared" si="0"/>
        <v>62</v>
      </c>
      <c r="E30" t="s">
        <v>124</v>
      </c>
      <c r="F30" t="s">
        <v>125</v>
      </c>
      <c r="G30">
        <v>22555</v>
      </c>
      <c r="H30">
        <v>221</v>
      </c>
      <c r="I30">
        <v>0.14351851851851852</v>
      </c>
      <c r="J30">
        <v>790.78896505132911</v>
      </c>
      <c r="K30">
        <v>755.98311271632338</v>
      </c>
    </row>
    <row r="31" spans="1:11">
      <c r="A31">
        <v>7</v>
      </c>
      <c r="B31">
        <v>3</v>
      </c>
      <c r="C31">
        <v>27</v>
      </c>
      <c r="D31">
        <f t="shared" si="0"/>
        <v>7</v>
      </c>
      <c r="E31" t="s">
        <v>14</v>
      </c>
      <c r="F31" t="s">
        <v>15</v>
      </c>
      <c r="G31">
        <v>10846</v>
      </c>
      <c r="H31">
        <v>40</v>
      </c>
      <c r="I31">
        <v>0.11844660194174757</v>
      </c>
      <c r="J31">
        <v>613.09541748410425</v>
      </c>
      <c r="K31">
        <v>549.35708005846118</v>
      </c>
    </row>
    <row r="32" spans="1:11">
      <c r="A32">
        <v>47</v>
      </c>
      <c r="B32">
        <v>3</v>
      </c>
      <c r="C32">
        <v>27</v>
      </c>
      <c r="D32">
        <f t="shared" si="0"/>
        <v>47</v>
      </c>
      <c r="E32" t="s">
        <v>94</v>
      </c>
      <c r="F32" t="s">
        <v>95</v>
      </c>
      <c r="G32">
        <v>110627</v>
      </c>
      <c r="H32">
        <v>235</v>
      </c>
      <c r="I32">
        <v>0.10559006211180125</v>
      </c>
      <c r="J32">
        <v>503.3361392247179</v>
      </c>
      <c r="K32">
        <v>475.84807129158713</v>
      </c>
    </row>
    <row r="33" spans="1:11">
      <c r="A33">
        <v>61</v>
      </c>
      <c r="B33">
        <v>3</v>
      </c>
      <c r="C33">
        <v>27</v>
      </c>
      <c r="D33">
        <f t="shared" si="0"/>
        <v>61</v>
      </c>
      <c r="E33" t="s">
        <v>122</v>
      </c>
      <c r="F33" t="s">
        <v>123</v>
      </c>
      <c r="G33">
        <v>18411</v>
      </c>
      <c r="H33">
        <v>154</v>
      </c>
      <c r="I33">
        <v>0.15277777777777779</v>
      </c>
      <c r="J33">
        <v>799.223551866619</v>
      </c>
      <c r="K33">
        <v>756.77617050799734</v>
      </c>
    </row>
    <row r="34" spans="1:11">
      <c r="A34">
        <v>8</v>
      </c>
      <c r="B34">
        <v>1</v>
      </c>
      <c r="C34">
        <v>50</v>
      </c>
      <c r="D34">
        <f t="shared" si="0"/>
        <v>8</v>
      </c>
      <c r="E34" t="s">
        <v>16</v>
      </c>
      <c r="F34" t="s">
        <v>17</v>
      </c>
      <c r="G34">
        <v>44569</v>
      </c>
      <c r="H34">
        <v>405</v>
      </c>
      <c r="I34">
        <v>0.19750000000000001</v>
      </c>
      <c r="J34">
        <v>749.43078148032487</v>
      </c>
      <c r="K34">
        <v>589.08000159104142</v>
      </c>
    </row>
    <row r="35" spans="1:11">
      <c r="A35">
        <v>34</v>
      </c>
      <c r="B35">
        <v>1</v>
      </c>
      <c r="C35">
        <v>50</v>
      </c>
      <c r="D35">
        <f t="shared" si="0"/>
        <v>34</v>
      </c>
      <c r="E35" t="s">
        <v>68</v>
      </c>
      <c r="F35" t="s">
        <v>69</v>
      </c>
      <c r="G35">
        <v>87571</v>
      </c>
      <c r="H35">
        <v>2217</v>
      </c>
      <c r="I35">
        <v>0.10813823857302118</v>
      </c>
      <c r="J35">
        <v>667.78907871761226</v>
      </c>
      <c r="K35">
        <v>605.87896406698496</v>
      </c>
    </row>
    <row r="36" spans="1:11">
      <c r="A36">
        <v>9</v>
      </c>
      <c r="B36">
        <v>2</v>
      </c>
      <c r="C36">
        <v>50</v>
      </c>
      <c r="D36">
        <f t="shared" si="0"/>
        <v>9</v>
      </c>
      <c r="E36" t="s">
        <v>18</v>
      </c>
      <c r="F36" t="s">
        <v>19</v>
      </c>
      <c r="G36">
        <v>23153</v>
      </c>
      <c r="H36">
        <v>566</v>
      </c>
      <c r="I36">
        <v>0.1313364055299539</v>
      </c>
      <c r="J36">
        <v>736.98421057302744</v>
      </c>
      <c r="K36">
        <v>674.72024647408239</v>
      </c>
    </row>
    <row r="37" spans="1:11">
      <c r="A37">
        <v>26</v>
      </c>
      <c r="B37">
        <v>2</v>
      </c>
      <c r="C37">
        <v>50</v>
      </c>
      <c r="D37">
        <f t="shared" ref="D37:D68" si="1">A37</f>
        <v>26</v>
      </c>
      <c r="E37" t="s">
        <v>52</v>
      </c>
      <c r="F37" t="s">
        <v>53</v>
      </c>
      <c r="G37">
        <v>178002</v>
      </c>
      <c r="H37">
        <v>1689</v>
      </c>
      <c r="I37">
        <v>0.21163366336633663</v>
      </c>
      <c r="J37">
        <v>754.65250889720585</v>
      </c>
      <c r="K37">
        <v>684.73589502396908</v>
      </c>
    </row>
    <row r="38" spans="1:11">
      <c r="A38">
        <v>24</v>
      </c>
      <c r="B38">
        <v>3</v>
      </c>
      <c r="C38">
        <v>50</v>
      </c>
      <c r="D38">
        <f t="shared" si="1"/>
        <v>24</v>
      </c>
      <c r="E38" t="s">
        <v>48</v>
      </c>
      <c r="F38" t="s">
        <v>49</v>
      </c>
      <c r="G38">
        <v>47720</v>
      </c>
      <c r="H38">
        <v>1055</v>
      </c>
      <c r="I38">
        <v>0.15063731170336037</v>
      </c>
      <c r="J38">
        <v>882.68590576823317</v>
      </c>
      <c r="K38">
        <v>729.89858024093962</v>
      </c>
    </row>
    <row r="39" spans="1:11">
      <c r="A39">
        <v>25</v>
      </c>
      <c r="B39">
        <v>3</v>
      </c>
      <c r="C39">
        <v>50</v>
      </c>
      <c r="D39">
        <f t="shared" si="1"/>
        <v>25</v>
      </c>
      <c r="E39" t="s">
        <v>50</v>
      </c>
      <c r="F39" t="s">
        <v>51</v>
      </c>
      <c r="G39">
        <v>21931</v>
      </c>
      <c r="H39">
        <v>604</v>
      </c>
      <c r="I39">
        <v>0.18803418803418803</v>
      </c>
      <c r="J39">
        <v>777.44048704506736</v>
      </c>
      <c r="K39">
        <v>649.23925695745413</v>
      </c>
    </row>
    <row r="40" spans="1:11">
      <c r="A40">
        <v>10</v>
      </c>
      <c r="B40">
        <v>4</v>
      </c>
      <c r="C40">
        <v>50</v>
      </c>
      <c r="D40">
        <f t="shared" si="1"/>
        <v>10</v>
      </c>
      <c r="E40" t="s">
        <v>20</v>
      </c>
      <c r="F40" t="s">
        <v>21</v>
      </c>
      <c r="G40">
        <v>15653</v>
      </c>
      <c r="H40">
        <v>527</v>
      </c>
      <c r="I40">
        <v>0.11909650924024641</v>
      </c>
      <c r="J40">
        <v>640.10235010139047</v>
      </c>
      <c r="K40">
        <v>593.35753772649502</v>
      </c>
    </row>
    <row r="41" spans="1:11">
      <c r="A41">
        <v>16</v>
      </c>
      <c r="B41">
        <v>4</v>
      </c>
      <c r="C41">
        <v>50</v>
      </c>
      <c r="D41">
        <f t="shared" si="1"/>
        <v>16</v>
      </c>
      <c r="E41" t="s">
        <v>32</v>
      </c>
      <c r="F41" t="s">
        <v>33</v>
      </c>
      <c r="G41">
        <v>76494</v>
      </c>
      <c r="H41">
        <v>880</v>
      </c>
      <c r="I41">
        <v>0.12604263206672844</v>
      </c>
      <c r="J41">
        <v>683.48737686261632</v>
      </c>
      <c r="K41">
        <v>645.26101350340957</v>
      </c>
    </row>
    <row r="42" spans="1:11">
      <c r="A42">
        <v>3</v>
      </c>
      <c r="B42">
        <v>1</v>
      </c>
      <c r="C42">
        <v>61</v>
      </c>
      <c r="D42">
        <f t="shared" si="1"/>
        <v>3</v>
      </c>
      <c r="E42" t="s">
        <v>6</v>
      </c>
      <c r="F42" t="s">
        <v>7</v>
      </c>
      <c r="G42">
        <v>7500</v>
      </c>
      <c r="H42">
        <v>275</v>
      </c>
      <c r="I42">
        <v>0.11790393013100436</v>
      </c>
      <c r="J42">
        <v>576.16481208586811</v>
      </c>
      <c r="K42">
        <v>524.82339318712741</v>
      </c>
    </row>
    <row r="43" spans="1:11">
      <c r="A43">
        <v>4</v>
      </c>
      <c r="B43">
        <v>1</v>
      </c>
      <c r="C43">
        <v>61</v>
      </c>
      <c r="D43">
        <f t="shared" si="1"/>
        <v>4</v>
      </c>
      <c r="E43" t="s">
        <v>8</v>
      </c>
      <c r="F43" t="s">
        <v>9</v>
      </c>
      <c r="G43">
        <v>11919</v>
      </c>
      <c r="H43">
        <v>309</v>
      </c>
      <c r="I43">
        <v>0.13409961685823754</v>
      </c>
      <c r="J43">
        <v>576.16481208586811</v>
      </c>
      <c r="K43">
        <v>524.82339318712741</v>
      </c>
    </row>
    <row r="44" spans="1:11">
      <c r="A44">
        <v>28</v>
      </c>
      <c r="B44">
        <v>1</v>
      </c>
      <c r="C44">
        <v>61</v>
      </c>
      <c r="D44">
        <f t="shared" si="1"/>
        <v>28</v>
      </c>
      <c r="E44" t="s">
        <v>56</v>
      </c>
      <c r="F44" t="s">
        <v>57</v>
      </c>
      <c r="G44">
        <v>13049</v>
      </c>
      <c r="H44">
        <v>480</v>
      </c>
      <c r="I44">
        <v>9.3434343434343439E-2</v>
      </c>
      <c r="J44">
        <v>585.45605249507526</v>
      </c>
      <c r="K44">
        <v>473.94061392458474</v>
      </c>
    </row>
    <row r="45" spans="1:11">
      <c r="A45">
        <v>50</v>
      </c>
      <c r="B45">
        <v>1</v>
      </c>
      <c r="C45">
        <v>61</v>
      </c>
      <c r="D45">
        <f t="shared" si="1"/>
        <v>50</v>
      </c>
      <c r="E45" t="s">
        <v>100</v>
      </c>
      <c r="F45" t="s">
        <v>101</v>
      </c>
      <c r="G45">
        <v>4878</v>
      </c>
      <c r="H45">
        <v>201</v>
      </c>
      <c r="I45">
        <v>0.13157894736842105</v>
      </c>
      <c r="J45">
        <v>576.16481208586811</v>
      </c>
      <c r="K45">
        <v>524.82339318712741</v>
      </c>
    </row>
    <row r="46" spans="1:11">
      <c r="A46">
        <v>64</v>
      </c>
      <c r="B46">
        <v>1</v>
      </c>
      <c r="C46">
        <v>61</v>
      </c>
      <c r="D46">
        <f t="shared" si="1"/>
        <v>64</v>
      </c>
      <c r="E46" t="s">
        <v>128</v>
      </c>
      <c r="F46" t="s">
        <v>129</v>
      </c>
      <c r="G46">
        <v>48034</v>
      </c>
      <c r="H46">
        <v>200</v>
      </c>
      <c r="I46">
        <v>0.12852664576802508</v>
      </c>
      <c r="J46">
        <v>521.22393532684885</v>
      </c>
      <c r="K46">
        <v>495.11455009783543</v>
      </c>
    </row>
    <row r="47" spans="1:11">
      <c r="A47">
        <v>5</v>
      </c>
      <c r="B47">
        <v>2</v>
      </c>
      <c r="C47">
        <v>61</v>
      </c>
      <c r="D47">
        <f t="shared" si="1"/>
        <v>5</v>
      </c>
      <c r="E47" t="s">
        <v>10</v>
      </c>
      <c r="F47" t="s">
        <v>11</v>
      </c>
      <c r="G47">
        <v>53227</v>
      </c>
      <c r="H47">
        <v>621</v>
      </c>
      <c r="I47">
        <v>0.11065573770491803</v>
      </c>
      <c r="J47">
        <v>604.36055592750154</v>
      </c>
      <c r="K47">
        <v>569.30534026091107</v>
      </c>
    </row>
    <row r="48" spans="1:11">
      <c r="A48">
        <v>29</v>
      </c>
      <c r="B48">
        <v>2</v>
      </c>
      <c r="C48">
        <v>61</v>
      </c>
      <c r="D48">
        <f t="shared" si="1"/>
        <v>29</v>
      </c>
      <c r="E48" t="s">
        <v>58</v>
      </c>
      <c r="F48" t="s">
        <v>59</v>
      </c>
      <c r="G48">
        <v>33402</v>
      </c>
      <c r="H48">
        <v>487</v>
      </c>
      <c r="I48">
        <v>8.2892416225749554E-2</v>
      </c>
      <c r="J48">
        <v>604.51933661855639</v>
      </c>
      <c r="K48">
        <v>556.96477616942082</v>
      </c>
    </row>
    <row r="49" spans="1:11">
      <c r="A49">
        <v>49</v>
      </c>
      <c r="B49">
        <v>2</v>
      </c>
      <c r="C49">
        <v>61</v>
      </c>
      <c r="D49">
        <f t="shared" si="1"/>
        <v>49</v>
      </c>
      <c r="E49" t="s">
        <v>98</v>
      </c>
      <c r="F49" t="s">
        <v>99</v>
      </c>
      <c r="G49">
        <v>15836</v>
      </c>
      <c r="H49">
        <v>329</v>
      </c>
      <c r="I49">
        <v>0.11320754716981132</v>
      </c>
      <c r="J49">
        <v>749.77797071972952</v>
      </c>
      <c r="K49">
        <v>688.40824357896872</v>
      </c>
    </row>
    <row r="50" spans="1:11">
      <c r="A50">
        <v>63</v>
      </c>
      <c r="B50">
        <v>2</v>
      </c>
      <c r="C50">
        <v>61</v>
      </c>
      <c r="D50">
        <f t="shared" si="1"/>
        <v>63</v>
      </c>
      <c r="E50" t="s">
        <v>126</v>
      </c>
      <c r="F50" t="s">
        <v>127</v>
      </c>
      <c r="G50">
        <v>5657</v>
      </c>
      <c r="H50">
        <v>248</v>
      </c>
      <c r="I50">
        <v>0.13145539906103287</v>
      </c>
      <c r="J50">
        <v>677.9898661241001</v>
      </c>
      <c r="K50">
        <v>613.78266830081452</v>
      </c>
    </row>
    <row r="51" spans="1:11">
      <c r="A51">
        <v>6</v>
      </c>
      <c r="B51">
        <v>3</v>
      </c>
      <c r="C51">
        <v>61</v>
      </c>
      <c r="D51">
        <f t="shared" si="1"/>
        <v>6</v>
      </c>
      <c r="E51" t="s">
        <v>12</v>
      </c>
      <c r="F51" t="s">
        <v>13</v>
      </c>
      <c r="G51">
        <v>13525</v>
      </c>
      <c r="H51">
        <v>333</v>
      </c>
      <c r="I51">
        <v>0.18088737201365188</v>
      </c>
      <c r="J51">
        <v>568.88699743451014</v>
      </c>
      <c r="K51">
        <v>491.01061174874559</v>
      </c>
    </row>
    <row r="52" spans="1:11">
      <c r="A52">
        <v>27</v>
      </c>
      <c r="B52">
        <v>3</v>
      </c>
      <c r="C52">
        <v>61</v>
      </c>
      <c r="D52">
        <f t="shared" si="1"/>
        <v>27</v>
      </c>
      <c r="E52" t="s">
        <v>54</v>
      </c>
      <c r="F52" t="s">
        <v>55</v>
      </c>
      <c r="G52">
        <v>11165</v>
      </c>
      <c r="H52">
        <v>200</v>
      </c>
      <c r="I52">
        <v>0.1728395061728395</v>
      </c>
      <c r="J52">
        <v>568.88699743451014</v>
      </c>
      <c r="K52">
        <v>491.01061174874559</v>
      </c>
    </row>
    <row r="53" spans="1:11">
      <c r="A53">
        <v>30</v>
      </c>
      <c r="B53">
        <v>3</v>
      </c>
      <c r="C53">
        <v>61</v>
      </c>
      <c r="D53">
        <f t="shared" si="1"/>
        <v>30</v>
      </c>
      <c r="E53" t="s">
        <v>60</v>
      </c>
      <c r="F53" t="s">
        <v>61</v>
      </c>
      <c r="G53">
        <v>25415</v>
      </c>
      <c r="H53">
        <v>418</v>
      </c>
      <c r="I53">
        <v>0.13489736070381231</v>
      </c>
      <c r="J53">
        <v>641.36535457056721</v>
      </c>
      <c r="K53">
        <v>587.05965353095758</v>
      </c>
    </row>
    <row r="54" spans="1:11">
      <c r="A54">
        <v>33</v>
      </c>
      <c r="B54">
        <v>3</v>
      </c>
      <c r="C54">
        <v>61</v>
      </c>
      <c r="D54">
        <f t="shared" si="1"/>
        <v>33</v>
      </c>
      <c r="E54" t="s">
        <v>66</v>
      </c>
      <c r="F54" t="s">
        <v>67</v>
      </c>
      <c r="G54">
        <v>8065</v>
      </c>
      <c r="H54">
        <v>205</v>
      </c>
      <c r="I54">
        <v>0.16748768472906403</v>
      </c>
      <c r="J54">
        <v>568.88699743451014</v>
      </c>
      <c r="K54">
        <v>491.01061174874559</v>
      </c>
    </row>
    <row r="55" spans="1:11">
      <c r="A55">
        <v>35</v>
      </c>
      <c r="B55">
        <v>3</v>
      </c>
      <c r="C55">
        <v>61</v>
      </c>
      <c r="D55">
        <f t="shared" si="1"/>
        <v>35</v>
      </c>
      <c r="E55" t="s">
        <v>70</v>
      </c>
      <c r="F55" t="s">
        <v>71</v>
      </c>
      <c r="G55">
        <v>14240</v>
      </c>
      <c r="H55">
        <v>357</v>
      </c>
      <c r="I55">
        <v>0.12147505422993492</v>
      </c>
      <c r="J55">
        <v>837.91982890066492</v>
      </c>
      <c r="K55">
        <v>739.6518035693133</v>
      </c>
    </row>
    <row r="56" spans="1:11">
      <c r="A56">
        <v>48</v>
      </c>
      <c r="B56">
        <v>3</v>
      </c>
      <c r="C56">
        <v>61</v>
      </c>
      <c r="D56">
        <f t="shared" si="1"/>
        <v>48</v>
      </c>
      <c r="E56" t="s">
        <v>96</v>
      </c>
      <c r="F56" t="s">
        <v>97</v>
      </c>
      <c r="G56">
        <v>12031</v>
      </c>
      <c r="H56">
        <v>214</v>
      </c>
      <c r="I56">
        <v>0.17050691244239632</v>
      </c>
      <c r="J56">
        <v>568.88699743451014</v>
      </c>
      <c r="K56">
        <v>491.01061174874559</v>
      </c>
    </row>
    <row r="57" spans="1:11">
      <c r="A57">
        <v>53</v>
      </c>
      <c r="B57">
        <v>3</v>
      </c>
      <c r="C57">
        <v>61</v>
      </c>
      <c r="D57">
        <f t="shared" si="1"/>
        <v>53</v>
      </c>
      <c r="E57" t="s">
        <v>106</v>
      </c>
      <c r="F57" t="s">
        <v>107</v>
      </c>
      <c r="G57">
        <v>532</v>
      </c>
      <c r="H57">
        <v>10</v>
      </c>
      <c r="I57">
        <v>7.3684210526315783E-2</v>
      </c>
      <c r="J57">
        <v>568.88699743451014</v>
      </c>
      <c r="K57">
        <v>491.01061174874559</v>
      </c>
    </row>
    <row r="58" spans="1:11">
      <c r="A58">
        <v>31</v>
      </c>
      <c r="B58">
        <v>1</v>
      </c>
      <c r="C58">
        <v>76</v>
      </c>
      <c r="D58">
        <f t="shared" si="1"/>
        <v>31</v>
      </c>
      <c r="E58" t="s">
        <v>62</v>
      </c>
      <c r="F58" t="s">
        <v>63</v>
      </c>
      <c r="G58">
        <v>37835</v>
      </c>
      <c r="H58">
        <v>412</v>
      </c>
      <c r="I58">
        <v>0.14153132250580047</v>
      </c>
      <c r="J58">
        <v>678.32904320714931</v>
      </c>
      <c r="K58">
        <v>643.76882222456732</v>
      </c>
    </row>
    <row r="59" spans="1:11">
      <c r="A59">
        <v>39</v>
      </c>
      <c r="B59">
        <v>1</v>
      </c>
      <c r="C59">
        <v>76</v>
      </c>
      <c r="D59">
        <f t="shared" si="1"/>
        <v>39</v>
      </c>
      <c r="E59" t="s">
        <v>78</v>
      </c>
      <c r="F59" t="s">
        <v>79</v>
      </c>
      <c r="G59">
        <v>16969</v>
      </c>
      <c r="H59">
        <v>403</v>
      </c>
      <c r="I59">
        <v>0.11202185792349727</v>
      </c>
      <c r="J59">
        <v>636.85712787952514</v>
      </c>
      <c r="K59">
        <v>607.95959677155372</v>
      </c>
    </row>
    <row r="60" spans="1:11">
      <c r="A60">
        <v>40</v>
      </c>
      <c r="B60">
        <v>1</v>
      </c>
      <c r="C60">
        <v>76</v>
      </c>
      <c r="D60">
        <f t="shared" si="1"/>
        <v>40</v>
      </c>
      <c r="E60" t="s">
        <v>80</v>
      </c>
      <c r="F60" t="s">
        <v>81</v>
      </c>
      <c r="G60">
        <v>29076</v>
      </c>
      <c r="H60">
        <v>471</v>
      </c>
      <c r="I60">
        <v>0.15310077519379844</v>
      </c>
      <c r="J60">
        <v>741.60194352893075</v>
      </c>
      <c r="K60">
        <v>691.31972855661218</v>
      </c>
    </row>
    <row r="61" spans="1:11">
      <c r="A61">
        <v>42</v>
      </c>
      <c r="B61">
        <v>1</v>
      </c>
      <c r="C61">
        <v>76</v>
      </c>
      <c r="D61">
        <f t="shared" si="1"/>
        <v>42</v>
      </c>
      <c r="E61" t="s">
        <v>84</v>
      </c>
      <c r="F61" t="s">
        <v>85</v>
      </c>
      <c r="G61">
        <v>27698</v>
      </c>
      <c r="H61">
        <v>418</v>
      </c>
      <c r="I61">
        <v>0.14327485380116958</v>
      </c>
      <c r="J61">
        <v>826.3904606909017</v>
      </c>
      <c r="K61">
        <v>712.03753716356289</v>
      </c>
    </row>
    <row r="62" spans="1:11">
      <c r="A62">
        <v>44</v>
      </c>
      <c r="B62">
        <v>1</v>
      </c>
      <c r="C62">
        <v>76</v>
      </c>
      <c r="D62">
        <f t="shared" si="1"/>
        <v>44</v>
      </c>
      <c r="E62" t="s">
        <v>88</v>
      </c>
      <c r="F62" t="s">
        <v>89</v>
      </c>
      <c r="G62">
        <v>24973</v>
      </c>
      <c r="H62">
        <v>475</v>
      </c>
      <c r="I62">
        <v>0.1766109785202864</v>
      </c>
      <c r="J62">
        <v>608.92645240207366</v>
      </c>
      <c r="K62">
        <v>576.99772456076641</v>
      </c>
    </row>
    <row r="63" spans="1:11">
      <c r="A63">
        <v>66</v>
      </c>
      <c r="B63">
        <v>1</v>
      </c>
      <c r="C63">
        <v>76</v>
      </c>
      <c r="D63">
        <f t="shared" si="1"/>
        <v>66</v>
      </c>
      <c r="E63" t="s">
        <v>132</v>
      </c>
      <c r="F63" t="s">
        <v>133</v>
      </c>
      <c r="G63">
        <v>22088</v>
      </c>
      <c r="H63">
        <v>136</v>
      </c>
      <c r="I63">
        <v>0.17197452229299362</v>
      </c>
      <c r="J63">
        <v>925.00871577733199</v>
      </c>
      <c r="K63">
        <v>790.80731590259722</v>
      </c>
    </row>
    <row r="64" spans="1:11">
      <c r="A64">
        <v>67</v>
      </c>
      <c r="B64">
        <v>1</v>
      </c>
      <c r="C64">
        <v>76</v>
      </c>
      <c r="D64">
        <f t="shared" si="1"/>
        <v>67</v>
      </c>
      <c r="E64" t="s">
        <v>134</v>
      </c>
      <c r="F64" t="s">
        <v>135</v>
      </c>
      <c r="G64">
        <v>5195</v>
      </c>
      <c r="H64">
        <v>144</v>
      </c>
      <c r="I64">
        <v>0.10596026490066225</v>
      </c>
      <c r="J64">
        <v>516.52433218430951</v>
      </c>
      <c r="K64">
        <v>479.43589502221369</v>
      </c>
    </row>
    <row r="65" spans="1:11">
      <c r="A65">
        <v>70</v>
      </c>
      <c r="B65">
        <v>1</v>
      </c>
      <c r="C65">
        <v>76</v>
      </c>
      <c r="D65">
        <f t="shared" si="1"/>
        <v>70</v>
      </c>
      <c r="E65" t="s">
        <v>140</v>
      </c>
      <c r="F65" t="s">
        <v>141</v>
      </c>
      <c r="G65">
        <v>23604</v>
      </c>
      <c r="H65">
        <v>230</v>
      </c>
      <c r="I65">
        <v>0.15458937198067632</v>
      </c>
      <c r="J65">
        <v>704.86380253871289</v>
      </c>
      <c r="K65">
        <v>669.39360313559735</v>
      </c>
    </row>
    <row r="66" spans="1:11">
      <c r="A66">
        <v>71</v>
      </c>
      <c r="B66">
        <v>1</v>
      </c>
      <c r="C66">
        <v>76</v>
      </c>
      <c r="D66">
        <f t="shared" si="1"/>
        <v>71</v>
      </c>
      <c r="E66" t="s">
        <v>142</v>
      </c>
      <c r="F66" t="s">
        <v>143</v>
      </c>
      <c r="G66">
        <v>45775</v>
      </c>
      <c r="H66">
        <v>143</v>
      </c>
      <c r="I66">
        <v>0.18181818181818182</v>
      </c>
      <c r="J66">
        <v>667.21498564902311</v>
      </c>
      <c r="K66">
        <v>613.07436509723425</v>
      </c>
    </row>
    <row r="67" spans="1:11">
      <c r="A67">
        <v>1</v>
      </c>
      <c r="B67">
        <v>2</v>
      </c>
      <c r="C67">
        <v>76</v>
      </c>
      <c r="D67">
        <f t="shared" si="1"/>
        <v>1</v>
      </c>
      <c r="E67" t="s">
        <v>2</v>
      </c>
      <c r="F67" t="s">
        <v>3</v>
      </c>
      <c r="G67">
        <v>77889</v>
      </c>
      <c r="H67">
        <v>462</v>
      </c>
      <c r="I67">
        <v>0.17452830188679244</v>
      </c>
      <c r="J67">
        <v>810.42488845897708</v>
      </c>
      <c r="K67">
        <v>790.3359447207755</v>
      </c>
    </row>
    <row r="68" spans="1:11">
      <c r="A68">
        <v>41</v>
      </c>
      <c r="B68">
        <v>2</v>
      </c>
      <c r="C68">
        <v>76</v>
      </c>
      <c r="D68">
        <f t="shared" si="1"/>
        <v>41</v>
      </c>
      <c r="E68" t="s">
        <v>82</v>
      </c>
      <c r="F68" t="s">
        <v>83</v>
      </c>
      <c r="G68">
        <v>38327</v>
      </c>
      <c r="H68">
        <v>241</v>
      </c>
      <c r="I68">
        <v>0.25949367088607594</v>
      </c>
      <c r="J68">
        <v>896.5802760603915</v>
      </c>
      <c r="K68">
        <v>834.20578454080908</v>
      </c>
    </row>
    <row r="69" spans="1:11">
      <c r="A69">
        <v>54</v>
      </c>
      <c r="B69">
        <v>2</v>
      </c>
      <c r="C69">
        <v>76</v>
      </c>
      <c r="D69">
        <f t="shared" ref="D69:D75" si="2">A69</f>
        <v>54</v>
      </c>
      <c r="E69" t="s">
        <v>108</v>
      </c>
      <c r="F69" t="s">
        <v>109</v>
      </c>
      <c r="G69">
        <v>265498</v>
      </c>
      <c r="H69">
        <v>399</v>
      </c>
      <c r="I69">
        <v>0.24068767908309455</v>
      </c>
      <c r="J69">
        <v>614.1423148464437</v>
      </c>
      <c r="K69">
        <v>598.04320148405191</v>
      </c>
    </row>
    <row r="70" spans="1:11">
      <c r="A70">
        <v>65</v>
      </c>
      <c r="B70">
        <v>2</v>
      </c>
      <c r="C70">
        <v>76</v>
      </c>
      <c r="D70">
        <f t="shared" si="2"/>
        <v>65</v>
      </c>
      <c r="E70" t="s">
        <v>130</v>
      </c>
      <c r="F70" t="s">
        <v>131</v>
      </c>
      <c r="G70">
        <v>15038</v>
      </c>
      <c r="H70">
        <v>155</v>
      </c>
      <c r="I70">
        <v>0.16326530612244897</v>
      </c>
      <c r="J70">
        <v>877.05599406110537</v>
      </c>
      <c r="K70">
        <v>849.48976974488085</v>
      </c>
    </row>
    <row r="71" spans="1:11">
      <c r="A71">
        <v>2</v>
      </c>
      <c r="B71">
        <v>3</v>
      </c>
      <c r="C71">
        <v>76</v>
      </c>
      <c r="D71">
        <f t="shared" si="2"/>
        <v>2</v>
      </c>
      <c r="E71" t="s">
        <v>4</v>
      </c>
      <c r="F71" t="s">
        <v>5</v>
      </c>
      <c r="G71">
        <v>496629</v>
      </c>
      <c r="H71">
        <v>413</v>
      </c>
      <c r="I71">
        <v>0.33840304182509506</v>
      </c>
      <c r="J71">
        <v>587.19793976998528</v>
      </c>
      <c r="K71">
        <v>572.7734014557725</v>
      </c>
    </row>
    <row r="72" spans="1:11">
      <c r="A72">
        <v>43</v>
      </c>
      <c r="B72">
        <v>3</v>
      </c>
      <c r="C72">
        <v>76</v>
      </c>
      <c r="D72">
        <f t="shared" si="2"/>
        <v>43</v>
      </c>
      <c r="E72" t="s">
        <v>86</v>
      </c>
      <c r="F72" t="s">
        <v>87</v>
      </c>
      <c r="G72">
        <v>21198</v>
      </c>
      <c r="H72">
        <v>262</v>
      </c>
      <c r="I72">
        <v>0.112</v>
      </c>
      <c r="J72">
        <v>713.31939962099784</v>
      </c>
      <c r="K72">
        <v>688.45138385439429</v>
      </c>
    </row>
    <row r="73" spans="1:11">
      <c r="A73">
        <v>46</v>
      </c>
      <c r="B73">
        <v>3</v>
      </c>
      <c r="C73">
        <v>76</v>
      </c>
      <c r="D73">
        <f t="shared" si="2"/>
        <v>46</v>
      </c>
      <c r="E73" t="s">
        <v>92</v>
      </c>
      <c r="F73" t="s">
        <v>93</v>
      </c>
      <c r="G73">
        <v>55643</v>
      </c>
      <c r="H73">
        <v>455</v>
      </c>
      <c r="I73">
        <v>0.17660044150110377</v>
      </c>
      <c r="J73">
        <v>549.83094053782452</v>
      </c>
      <c r="K73">
        <v>538.05662311403455</v>
      </c>
    </row>
    <row r="74" spans="1:11">
      <c r="A74">
        <v>68</v>
      </c>
      <c r="B74">
        <v>3</v>
      </c>
      <c r="C74">
        <v>76</v>
      </c>
      <c r="D74">
        <f t="shared" si="2"/>
        <v>68</v>
      </c>
      <c r="E74" t="s">
        <v>136</v>
      </c>
      <c r="F74" t="s">
        <v>137</v>
      </c>
      <c r="G74">
        <v>26035</v>
      </c>
      <c r="H74">
        <v>149</v>
      </c>
      <c r="I74">
        <v>0.22485207100591717</v>
      </c>
      <c r="J74">
        <v>776.31263817282456</v>
      </c>
      <c r="K74">
        <v>739.45095274726737</v>
      </c>
    </row>
    <row r="75" spans="1:11">
      <c r="A75">
        <v>69</v>
      </c>
      <c r="B75">
        <v>3</v>
      </c>
      <c r="C75">
        <v>76</v>
      </c>
      <c r="D75">
        <f t="shared" si="2"/>
        <v>69</v>
      </c>
      <c r="E75" t="s">
        <v>138</v>
      </c>
      <c r="F75" t="s">
        <v>139</v>
      </c>
      <c r="G75">
        <v>25189</v>
      </c>
      <c r="H75">
        <v>62</v>
      </c>
      <c r="I75">
        <v>0.19753086419753085</v>
      </c>
      <c r="J75">
        <v>590.11035439162288</v>
      </c>
      <c r="K75">
        <v>576.52077167924756</v>
      </c>
    </row>
  </sheetData>
  <sortState xmlns:xlrd2="http://schemas.microsoft.com/office/spreadsheetml/2017/richdata2" ref="A5:K75">
    <sortCondition ref="C5:C75"/>
    <sortCondition ref="B5:B75"/>
    <sortCondition ref="A5:A75"/>
  </sortState>
  <pageMargins left="0.7" right="0.7" top="0.75" bottom="0.75" header="0.3" footer="0.3"/>
  <pageSetup paperSize="9" orientation="portrait"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8FDFB-6A95-4AC1-9E2E-E07ACB3647E7}">
  <sheetPr codeName="Feuil2"/>
  <dimension ref="D5:AI71"/>
  <sheetViews>
    <sheetView zoomScale="85" zoomScaleNormal="85" workbookViewId="0">
      <selection activeCell="I6" sqref="I6"/>
    </sheetView>
  </sheetViews>
  <sheetFormatPr baseColWidth="10" defaultRowHeight="15"/>
  <cols>
    <col min="1" max="7" width="11" style="5"/>
    <col min="8" max="8" width="10" style="5" customWidth="1"/>
    <col min="9" max="9" width="13" style="5" customWidth="1"/>
    <col min="10" max="12" width="11" style="5" customWidth="1"/>
    <col min="13" max="15" width="11" style="7" customWidth="1"/>
    <col min="16" max="16" width="8.625" style="6" customWidth="1"/>
    <col min="17" max="17" width="11" style="6"/>
    <col min="18" max="19" width="11" style="6" customWidth="1"/>
    <col min="20" max="23" width="11" style="5" customWidth="1"/>
    <col min="24" max="24" width="11" style="5"/>
    <col min="25" max="25" width="12.25" style="5" bestFit="1" customWidth="1"/>
    <col min="26" max="26" width="14.625" style="5" customWidth="1"/>
    <col min="27" max="27" width="11" style="5"/>
    <col min="28" max="28" width="14.125" style="5" bestFit="1" customWidth="1"/>
    <col min="29" max="31" width="11" style="5" bestFit="1" customWidth="1"/>
    <col min="32" max="32" width="11" style="5"/>
    <col min="33" max="33" width="14.25" style="5" customWidth="1"/>
    <col min="34" max="34" width="11" style="5"/>
    <col min="35" max="35" width="14.125" style="5" bestFit="1" customWidth="1"/>
    <col min="36" max="16384" width="11" style="5"/>
  </cols>
  <sheetData>
    <row r="5" spans="4:35">
      <c r="AD5" s="135" t="s">
        <v>172</v>
      </c>
      <c r="AE5" s="136"/>
      <c r="AF5" s="136"/>
      <c r="AG5" s="136"/>
      <c r="AH5" s="136"/>
      <c r="AI5" s="137"/>
    </row>
    <row r="6" spans="4:35" ht="45">
      <c r="D6" s="20" t="s">
        <v>229</v>
      </c>
      <c r="E6" s="20" t="s">
        <v>228</v>
      </c>
      <c r="F6" s="20" t="s">
        <v>227</v>
      </c>
      <c r="G6" s="20" t="s">
        <v>226</v>
      </c>
      <c r="H6" s="20" t="s">
        <v>225</v>
      </c>
      <c r="I6" s="22" t="s">
        <v>144</v>
      </c>
      <c r="J6" s="22" t="s">
        <v>224</v>
      </c>
      <c r="K6" s="22" t="s">
        <v>223</v>
      </c>
      <c r="L6" s="22" t="s">
        <v>222</v>
      </c>
      <c r="M6" s="22" t="s">
        <v>221</v>
      </c>
      <c r="N6" s="22" t="s">
        <v>221</v>
      </c>
      <c r="O6" s="22" t="s">
        <v>221</v>
      </c>
      <c r="P6" s="22" t="s">
        <v>220</v>
      </c>
      <c r="Q6" s="22" t="s">
        <v>219</v>
      </c>
      <c r="R6" s="22" t="s">
        <v>216</v>
      </c>
      <c r="S6" s="22" t="s">
        <v>218</v>
      </c>
      <c r="T6" s="22"/>
      <c r="U6" s="22" t="s">
        <v>217</v>
      </c>
      <c r="V6" s="22" t="s">
        <v>216</v>
      </c>
      <c r="W6" s="22" t="s">
        <v>215</v>
      </c>
      <c r="X6" s="22" t="s">
        <v>214</v>
      </c>
      <c r="Y6" s="22" t="s">
        <v>213</v>
      </c>
      <c r="Z6" s="22" t="s">
        <v>212</v>
      </c>
      <c r="AD6" s="12"/>
      <c r="AE6" s="12" t="s">
        <v>168</v>
      </c>
      <c r="AF6" s="12" t="s">
        <v>167</v>
      </c>
      <c r="AG6" s="12" t="s">
        <v>166</v>
      </c>
      <c r="AH6" s="12" t="s">
        <v>165</v>
      </c>
      <c r="AI6" s="12" t="s">
        <v>164</v>
      </c>
    </row>
    <row r="7" spans="4:35">
      <c r="D7" s="20">
        <v>28</v>
      </c>
      <c r="E7" s="21" t="s">
        <v>192</v>
      </c>
      <c r="F7" s="20">
        <v>14</v>
      </c>
      <c r="G7" s="21" t="s">
        <v>181</v>
      </c>
      <c r="H7" s="20">
        <v>1</v>
      </c>
      <c r="I7" s="19" t="s">
        <v>211</v>
      </c>
      <c r="J7" s="18">
        <v>123</v>
      </c>
      <c r="K7" s="18">
        <v>73516</v>
      </c>
      <c r="L7" s="18">
        <v>74932</v>
      </c>
      <c r="M7" s="17">
        <v>50</v>
      </c>
      <c r="N7" s="16">
        <f t="shared" ref="N7:N20" si="0">M7/6340</f>
        <v>7.8864353312302835E-3</v>
      </c>
      <c r="O7" s="16">
        <f>M7/N43</f>
        <v>2.2222222222222223E-2</v>
      </c>
      <c r="P7" s="10">
        <f>$I$43*O7</f>
        <v>78.62222222222222</v>
      </c>
      <c r="Q7" s="10">
        <f t="shared" ref="Q7:Q23" si="1">P7*$P$25</f>
        <v>3039.7306397306384</v>
      </c>
      <c r="R7" s="10">
        <f t="shared" ref="R7:R25" si="2">Q7*0.91</f>
        <v>2766.1548821548809</v>
      </c>
      <c r="S7" s="10">
        <f t="shared" ref="S7:S25" si="3">R7*2</f>
        <v>5532.3097643097617</v>
      </c>
      <c r="T7" s="11"/>
      <c r="U7" s="10">
        <f>N7*$O$43</f>
        <v>3427.6077972634789</v>
      </c>
      <c r="V7" s="11">
        <f t="shared" ref="V7:V23" si="4">U7*0.91</f>
        <v>3119.1230955097658</v>
      </c>
      <c r="W7" s="11">
        <f t="shared" ref="W7:W23" si="5">V7/$V$24</f>
        <v>4.8756867670888748E-3</v>
      </c>
      <c r="X7" s="10">
        <f t="shared" ref="X7:X24" si="6">W7*$Y$50/1000</f>
        <v>6.1855637271517283</v>
      </c>
      <c r="Y7" s="16">
        <f t="shared" ref="Y7:Y23" si="7">$X7*0.05</f>
        <v>0.30927818635758642</v>
      </c>
      <c r="Z7" s="16">
        <f t="shared" ref="Z7:Z23" si="8">$X7*0.1</f>
        <v>0.61855637271517283</v>
      </c>
      <c r="AD7" s="11" t="s">
        <v>162</v>
      </c>
      <c r="AE7" s="10">
        <f t="shared" ref="AE7:AI14" si="9">U43/1000</f>
        <v>275.08390000000003</v>
      </c>
      <c r="AF7" s="10">
        <f t="shared" si="9"/>
        <v>239.60839488351976</v>
      </c>
      <c r="AG7" s="10">
        <f t="shared" si="9"/>
        <v>241.01358978351772</v>
      </c>
      <c r="AH7" s="10">
        <f t="shared" si="9"/>
        <v>64.899606389420995</v>
      </c>
      <c r="AI7" s="10">
        <f t="shared" si="9"/>
        <v>545.52159105645853</v>
      </c>
    </row>
    <row r="8" spans="4:35">
      <c r="D8" s="20">
        <v>28</v>
      </c>
      <c r="E8" s="21" t="s">
        <v>192</v>
      </c>
      <c r="F8" s="20">
        <v>14</v>
      </c>
      <c r="G8" s="21" t="s">
        <v>181</v>
      </c>
      <c r="H8" s="20">
        <v>2</v>
      </c>
      <c r="I8" s="19" t="s">
        <v>210</v>
      </c>
      <c r="J8" s="18">
        <v>201</v>
      </c>
      <c r="K8" s="18">
        <v>393027</v>
      </c>
      <c r="L8" s="18">
        <v>399850</v>
      </c>
      <c r="M8" s="17">
        <v>100</v>
      </c>
      <c r="N8" s="16">
        <f t="shared" si="0"/>
        <v>1.5772870662460567E-2</v>
      </c>
      <c r="O8" s="16">
        <f>M8/2250</f>
        <v>4.4444444444444446E-2</v>
      </c>
      <c r="P8" s="10">
        <f>$I$43*O8</f>
        <v>157.24444444444444</v>
      </c>
      <c r="Q8" s="10">
        <f t="shared" si="1"/>
        <v>6079.4612794612767</v>
      </c>
      <c r="R8" s="10">
        <f t="shared" si="2"/>
        <v>5532.3097643097617</v>
      </c>
      <c r="S8" s="10">
        <f t="shared" si="3"/>
        <v>11064.619528619523</v>
      </c>
      <c r="T8" s="11"/>
      <c r="U8" s="10">
        <f>N8*$O$43</f>
        <v>6855.2155945269578</v>
      </c>
      <c r="V8" s="11">
        <f t="shared" si="4"/>
        <v>6238.2461910195316</v>
      </c>
      <c r="W8" s="11">
        <f t="shared" si="5"/>
        <v>9.7513735341777496E-3</v>
      </c>
      <c r="X8" s="10">
        <f t="shared" si="6"/>
        <v>12.371127454303457</v>
      </c>
      <c r="Y8" s="16">
        <f t="shared" si="7"/>
        <v>0.61855637271517283</v>
      </c>
      <c r="Z8" s="16">
        <f t="shared" si="8"/>
        <v>1.2371127454303457</v>
      </c>
      <c r="AD8" s="11" t="s">
        <v>160</v>
      </c>
      <c r="AE8" s="10">
        <f t="shared" si="9"/>
        <v>44.781100000000009</v>
      </c>
      <c r="AF8" s="10">
        <f t="shared" si="9"/>
        <v>39.006017771735777</v>
      </c>
      <c r="AG8" s="10">
        <f t="shared" si="9"/>
        <v>39.234770429874978</v>
      </c>
      <c r="AH8" s="10">
        <f t="shared" si="9"/>
        <v>10.565052202929001</v>
      </c>
      <c r="AI8" s="10">
        <f t="shared" si="9"/>
        <v>88.805840404539765</v>
      </c>
    </row>
    <row r="9" spans="4:35">
      <c r="D9" s="20">
        <v>28</v>
      </c>
      <c r="E9" s="21" t="s">
        <v>192</v>
      </c>
      <c r="F9" s="20">
        <v>14</v>
      </c>
      <c r="G9" s="21" t="s">
        <v>181</v>
      </c>
      <c r="H9" s="20">
        <v>3</v>
      </c>
      <c r="I9" s="19" t="s">
        <v>209</v>
      </c>
      <c r="J9" s="18">
        <v>160</v>
      </c>
      <c r="K9" s="18">
        <v>159810</v>
      </c>
      <c r="L9" s="18">
        <v>163468</v>
      </c>
      <c r="M9" s="17">
        <v>700</v>
      </c>
      <c r="N9" s="16">
        <f t="shared" si="0"/>
        <v>0.11041009463722397</v>
      </c>
      <c r="O9" s="16">
        <f>M9/2250</f>
        <v>0.31111111111111112</v>
      </c>
      <c r="P9" s="10">
        <f>$I$43*O9</f>
        <v>1100.7111111111112</v>
      </c>
      <c r="Q9" s="10">
        <f t="shared" si="1"/>
        <v>42556.228956228944</v>
      </c>
      <c r="R9" s="10">
        <f t="shared" si="2"/>
        <v>38726.168350168344</v>
      </c>
      <c r="S9" s="10">
        <f t="shared" si="3"/>
        <v>77452.336700336687</v>
      </c>
      <c r="T9" s="11"/>
      <c r="U9" s="10">
        <f>N9*$O$43</f>
        <v>47986.5091616887</v>
      </c>
      <c r="V9" s="11">
        <f t="shared" si="4"/>
        <v>43667.723337136718</v>
      </c>
      <c r="W9" s="11">
        <f t="shared" si="5"/>
        <v>6.8259614739244245E-2</v>
      </c>
      <c r="X9" s="10">
        <f t="shared" si="6"/>
        <v>86.597892180124177</v>
      </c>
      <c r="Y9" s="16">
        <f t="shared" si="7"/>
        <v>4.3298946090062094</v>
      </c>
      <c r="Z9" s="16">
        <f t="shared" si="8"/>
        <v>8.6597892180124187</v>
      </c>
      <c r="AD9" s="11" t="s">
        <v>159</v>
      </c>
      <c r="AE9" s="10">
        <f t="shared" si="9"/>
        <v>31.986499999999999</v>
      </c>
      <c r="AF9" s="10">
        <f t="shared" si="9"/>
        <v>27.861441265525549</v>
      </c>
      <c r="AG9" s="10">
        <f t="shared" si="9"/>
        <v>28.024836021339262</v>
      </c>
      <c r="AH9" s="10">
        <f t="shared" si="9"/>
        <v>7.546465859235</v>
      </c>
      <c r="AI9" s="10">
        <f t="shared" si="9"/>
        <v>63.432743146099817</v>
      </c>
    </row>
    <row r="10" spans="4:35">
      <c r="D10" s="20">
        <v>28</v>
      </c>
      <c r="E10" s="21" t="s">
        <v>192</v>
      </c>
      <c r="F10" s="20">
        <v>14</v>
      </c>
      <c r="G10" s="21" t="s">
        <v>181</v>
      </c>
      <c r="H10" s="20">
        <v>4</v>
      </c>
      <c r="I10" s="19" t="s">
        <v>208</v>
      </c>
      <c r="J10" s="18">
        <v>44</v>
      </c>
      <c r="K10" s="18">
        <v>71194</v>
      </c>
      <c r="L10" s="18">
        <v>73131</v>
      </c>
      <c r="M10" s="17">
        <v>1400</v>
      </c>
      <c r="N10" s="16">
        <f t="shared" si="0"/>
        <v>0.22082018927444794</v>
      </c>
      <c r="O10" s="16">
        <f>M10/2250</f>
        <v>0.62222222222222223</v>
      </c>
      <c r="P10" s="10">
        <f>$I$43*O10</f>
        <v>2201.4222222222224</v>
      </c>
      <c r="Q10" s="10">
        <f t="shared" si="1"/>
        <v>85112.457912457889</v>
      </c>
      <c r="R10" s="10">
        <f t="shared" si="2"/>
        <v>77452.336700336687</v>
      </c>
      <c r="S10" s="10">
        <f t="shared" si="3"/>
        <v>154904.67340067337</v>
      </c>
      <c r="T10" s="11"/>
      <c r="U10" s="10">
        <f>N10*$O$43</f>
        <v>95973.018323377401</v>
      </c>
      <c r="V10" s="11">
        <f t="shared" si="4"/>
        <v>87335.446674273437</v>
      </c>
      <c r="W10" s="11">
        <f t="shared" si="5"/>
        <v>0.13651922947848849</v>
      </c>
      <c r="X10" s="10">
        <f t="shared" si="6"/>
        <v>173.19578436024835</v>
      </c>
      <c r="Y10" s="16">
        <f t="shared" si="7"/>
        <v>8.6597892180124187</v>
      </c>
      <c r="Z10" s="16">
        <f t="shared" si="8"/>
        <v>17.319578436024837</v>
      </c>
      <c r="AD10" s="11" t="s">
        <v>158</v>
      </c>
      <c r="AE10" s="10">
        <f t="shared" si="9"/>
        <v>127.946</v>
      </c>
      <c r="AF10" s="10">
        <f t="shared" si="9"/>
        <v>111.4457650621022</v>
      </c>
      <c r="AG10" s="10">
        <f t="shared" si="9"/>
        <v>112.09934408535705</v>
      </c>
      <c r="AH10" s="10">
        <f t="shared" si="9"/>
        <v>30.18586343694</v>
      </c>
      <c r="AI10" s="10">
        <f t="shared" si="9"/>
        <v>253.73097258439927</v>
      </c>
    </row>
    <row r="11" spans="4:35">
      <c r="D11" s="20">
        <v>28</v>
      </c>
      <c r="E11" s="21" t="s">
        <v>192</v>
      </c>
      <c r="F11" s="20">
        <v>27</v>
      </c>
      <c r="G11" s="21" t="s">
        <v>205</v>
      </c>
      <c r="H11" s="20">
        <v>1</v>
      </c>
      <c r="I11" s="19" t="s">
        <v>207</v>
      </c>
      <c r="J11" s="18">
        <v>185</v>
      </c>
      <c r="K11" s="18">
        <v>235416</v>
      </c>
      <c r="L11" s="18">
        <v>240268</v>
      </c>
      <c r="M11" s="16">
        <f>1/6</f>
        <v>0.16666666666666666</v>
      </c>
      <c r="N11" s="16">
        <f t="shared" si="0"/>
        <v>2.6288117770767612E-5</v>
      </c>
      <c r="O11" s="16">
        <f>$I$44*0.4</f>
        <v>1823.2</v>
      </c>
      <c r="P11" s="10">
        <f>O11</f>
        <v>1823.2</v>
      </c>
      <c r="Q11" s="10">
        <f t="shared" si="1"/>
        <v>70489.446185997876</v>
      </c>
      <c r="R11" s="10">
        <f t="shared" si="2"/>
        <v>64145.396029258067</v>
      </c>
      <c r="S11" s="10">
        <f t="shared" si="3"/>
        <v>128290.79205851613</v>
      </c>
      <c r="T11" s="11"/>
      <c r="U11" s="10">
        <f>M11*$O$44</f>
        <v>44729.888551165146</v>
      </c>
      <c r="V11" s="11">
        <f t="shared" si="4"/>
        <v>40704.198581560282</v>
      </c>
      <c r="W11" s="11">
        <f t="shared" si="5"/>
        <v>6.3627152988855115E-2</v>
      </c>
      <c r="X11" s="10">
        <f t="shared" si="6"/>
        <v>80.720897053192886</v>
      </c>
      <c r="Y11" s="16">
        <f t="shared" si="7"/>
        <v>4.0360448526596446</v>
      </c>
      <c r="Z11" s="16">
        <f t="shared" si="8"/>
        <v>8.0720897053192893</v>
      </c>
      <c r="AD11" s="11" t="s">
        <v>157</v>
      </c>
      <c r="AE11" s="10">
        <f t="shared" si="9"/>
        <v>38.383799999999994</v>
      </c>
      <c r="AF11" s="10">
        <f t="shared" si="9"/>
        <v>33.433729518630656</v>
      </c>
      <c r="AG11" s="10">
        <f t="shared" si="9"/>
        <v>33.62980322560712</v>
      </c>
      <c r="AH11" s="10">
        <f t="shared" si="9"/>
        <v>9.0557590310819993</v>
      </c>
      <c r="AI11" s="10">
        <f t="shared" si="9"/>
        <v>76.119291775319766</v>
      </c>
    </row>
    <row r="12" spans="4:35">
      <c r="D12" s="20">
        <v>28</v>
      </c>
      <c r="E12" s="21" t="s">
        <v>192</v>
      </c>
      <c r="F12" s="20">
        <v>27</v>
      </c>
      <c r="G12" s="21" t="s">
        <v>205</v>
      </c>
      <c r="H12" s="20">
        <v>2</v>
      </c>
      <c r="I12" s="19" t="s">
        <v>206</v>
      </c>
      <c r="J12" s="18">
        <v>297</v>
      </c>
      <c r="K12" s="18">
        <v>225807</v>
      </c>
      <c r="L12" s="18">
        <v>230922</v>
      </c>
      <c r="M12" s="16">
        <f>1/6</f>
        <v>0.16666666666666666</v>
      </c>
      <c r="N12" s="16">
        <f t="shared" si="0"/>
        <v>2.6288117770767612E-5</v>
      </c>
      <c r="O12" s="16">
        <f>$I$44*0.4</f>
        <v>1823.2</v>
      </c>
      <c r="P12" s="10">
        <f>O12</f>
        <v>1823.2</v>
      </c>
      <c r="Q12" s="10">
        <f t="shared" si="1"/>
        <v>70489.446185997876</v>
      </c>
      <c r="R12" s="10">
        <f t="shared" si="2"/>
        <v>64145.396029258067</v>
      </c>
      <c r="S12" s="10">
        <f t="shared" si="3"/>
        <v>128290.79205851613</v>
      </c>
      <c r="T12" s="11"/>
      <c r="U12" s="10">
        <f>M12*$O$44</f>
        <v>44729.888551165146</v>
      </c>
      <c r="V12" s="11">
        <f t="shared" si="4"/>
        <v>40704.198581560282</v>
      </c>
      <c r="W12" s="11">
        <f t="shared" si="5"/>
        <v>6.3627152988855115E-2</v>
      </c>
      <c r="X12" s="10">
        <f t="shared" si="6"/>
        <v>80.720897053192886</v>
      </c>
      <c r="Y12" s="16">
        <f t="shared" si="7"/>
        <v>4.0360448526596446</v>
      </c>
      <c r="Z12" s="16">
        <f t="shared" si="8"/>
        <v>8.0720897053192893</v>
      </c>
      <c r="AD12" s="11" t="s">
        <v>156</v>
      </c>
      <c r="AE12" s="10">
        <f t="shared" si="9"/>
        <v>95.959500000000006</v>
      </c>
      <c r="AF12" s="10">
        <f t="shared" si="9"/>
        <v>83.584323796576655</v>
      </c>
      <c r="AG12" s="10">
        <f t="shared" si="9"/>
        <v>84.074508064017792</v>
      </c>
      <c r="AH12" s="10">
        <f t="shared" si="9"/>
        <v>22.639397577705001</v>
      </c>
      <c r="AI12" s="10">
        <f t="shared" si="9"/>
        <v>190.29822943829947</v>
      </c>
    </row>
    <row r="13" spans="4:35">
      <c r="D13" s="20">
        <v>28</v>
      </c>
      <c r="E13" s="21" t="s">
        <v>192</v>
      </c>
      <c r="F13" s="20">
        <v>27</v>
      </c>
      <c r="G13" s="21" t="s">
        <v>205</v>
      </c>
      <c r="H13" s="20">
        <v>3</v>
      </c>
      <c r="I13" s="19" t="s">
        <v>204</v>
      </c>
      <c r="J13" s="18">
        <v>103</v>
      </c>
      <c r="K13" s="18">
        <v>138445</v>
      </c>
      <c r="L13" s="18">
        <v>141576</v>
      </c>
      <c r="M13" s="16">
        <f>1/6</f>
        <v>0.16666666666666666</v>
      </c>
      <c r="N13" s="16">
        <f t="shared" si="0"/>
        <v>2.6288117770767612E-5</v>
      </c>
      <c r="O13" s="16">
        <f>$I$44*0.2</f>
        <v>911.6</v>
      </c>
      <c r="P13" s="10">
        <f>O13</f>
        <v>911.6</v>
      </c>
      <c r="Q13" s="10">
        <f t="shared" si="1"/>
        <v>35244.723092998938</v>
      </c>
      <c r="R13" s="10">
        <f t="shared" si="2"/>
        <v>32072.698014629033</v>
      </c>
      <c r="S13" s="10">
        <f t="shared" si="3"/>
        <v>64145.396029258067</v>
      </c>
      <c r="T13" s="11"/>
      <c r="U13" s="10">
        <f>M13*$O$44</f>
        <v>44729.888551165146</v>
      </c>
      <c r="V13" s="11">
        <f t="shared" si="4"/>
        <v>40704.198581560282</v>
      </c>
      <c r="W13" s="11">
        <f t="shared" si="5"/>
        <v>6.3627152988855115E-2</v>
      </c>
      <c r="X13" s="10">
        <f t="shared" si="6"/>
        <v>80.720897053192886</v>
      </c>
      <c r="Y13" s="16">
        <f t="shared" si="7"/>
        <v>4.0360448526596446</v>
      </c>
      <c r="Z13" s="16">
        <f t="shared" si="8"/>
        <v>8.0720897053192893</v>
      </c>
      <c r="AD13" s="11" t="s">
        <v>155</v>
      </c>
      <c r="AE13" s="10">
        <f t="shared" si="9"/>
        <v>25.589200000000002</v>
      </c>
      <c r="AF13" s="10">
        <f t="shared" si="9"/>
        <v>22.289153012420439</v>
      </c>
      <c r="AG13" s="10">
        <f t="shared" si="9"/>
        <v>22.419868817071407</v>
      </c>
      <c r="AH13" s="10">
        <f t="shared" si="9"/>
        <v>6.0371726873879998</v>
      </c>
      <c r="AI13" s="10">
        <f t="shared" si="9"/>
        <v>50.746194516879839</v>
      </c>
    </row>
    <row r="14" spans="4:35">
      <c r="D14" s="20">
        <v>28</v>
      </c>
      <c r="E14" s="21" t="s">
        <v>192</v>
      </c>
      <c r="F14" s="20">
        <v>50</v>
      </c>
      <c r="G14" s="21" t="s">
        <v>200</v>
      </c>
      <c r="H14" s="20">
        <v>1</v>
      </c>
      <c r="I14" s="19" t="s">
        <v>203</v>
      </c>
      <c r="J14" s="18">
        <v>134</v>
      </c>
      <c r="K14" s="18">
        <v>134398</v>
      </c>
      <c r="L14" s="18">
        <v>138960</v>
      </c>
      <c r="M14" s="17">
        <v>900</v>
      </c>
      <c r="N14" s="16">
        <f t="shared" si="0"/>
        <v>0.14195583596214512</v>
      </c>
      <c r="O14" s="16">
        <f>M14/$N$45</f>
        <v>0.4891304347826087</v>
      </c>
      <c r="P14" s="10">
        <f>$I$44*O14</f>
        <v>2229.4565217391305</v>
      </c>
      <c r="Q14" s="10">
        <f t="shared" si="1"/>
        <v>86196.333651356108</v>
      </c>
      <c r="R14" s="10">
        <f t="shared" si="2"/>
        <v>78438.663622734064</v>
      </c>
      <c r="S14" s="10">
        <f t="shared" si="3"/>
        <v>156877.32724546813</v>
      </c>
      <c r="T14" s="11"/>
      <c r="U14" s="10">
        <f t="shared" ref="U14:U20" si="10">N14*$O$43</f>
        <v>61696.940350742625</v>
      </c>
      <c r="V14" s="11">
        <f t="shared" si="4"/>
        <v>56144.215719175794</v>
      </c>
      <c r="W14" s="11">
        <f t="shared" si="5"/>
        <v>8.7762361807599762E-2</v>
      </c>
      <c r="X14" s="10">
        <f t="shared" si="6"/>
        <v>111.34014708873111</v>
      </c>
      <c r="Y14" s="16">
        <f t="shared" si="7"/>
        <v>5.5670073544365559</v>
      </c>
      <c r="Z14" s="16">
        <f t="shared" si="8"/>
        <v>11.134014708873112</v>
      </c>
      <c r="AD14" s="9" t="s">
        <v>154</v>
      </c>
      <c r="AE14" s="8">
        <f t="shared" si="9"/>
        <v>639.73</v>
      </c>
      <c r="AF14" s="8">
        <f t="shared" si="9"/>
        <v>557.22882531051107</v>
      </c>
      <c r="AG14" s="8">
        <f t="shared" si="9"/>
        <v>560.49672042678526</v>
      </c>
      <c r="AH14" s="8">
        <f t="shared" si="9"/>
        <v>150.92931718469998</v>
      </c>
      <c r="AI14" s="8">
        <f t="shared" si="9"/>
        <v>1268.6548629219963</v>
      </c>
    </row>
    <row r="15" spans="4:35">
      <c r="D15" s="20">
        <v>28</v>
      </c>
      <c r="E15" s="21" t="s">
        <v>192</v>
      </c>
      <c r="F15" s="20">
        <v>50</v>
      </c>
      <c r="G15" s="21" t="s">
        <v>200</v>
      </c>
      <c r="H15" s="20">
        <v>2</v>
      </c>
      <c r="I15" s="19" t="s">
        <v>202</v>
      </c>
      <c r="J15" s="18">
        <v>144</v>
      </c>
      <c r="K15" s="18">
        <v>186773</v>
      </c>
      <c r="L15" s="18">
        <v>191708</v>
      </c>
      <c r="M15" s="17">
        <v>140</v>
      </c>
      <c r="N15" s="16">
        <f t="shared" si="0"/>
        <v>2.2082018927444796E-2</v>
      </c>
      <c r="O15" s="16">
        <f>M15/$N$45</f>
        <v>7.6086956521739135E-2</v>
      </c>
      <c r="P15" s="10">
        <f>$I$44*O15</f>
        <v>346.804347826087</v>
      </c>
      <c r="Q15" s="10">
        <f t="shared" si="1"/>
        <v>13408.318567988728</v>
      </c>
      <c r="R15" s="10">
        <f t="shared" si="2"/>
        <v>12201.569896869743</v>
      </c>
      <c r="S15" s="10">
        <f t="shared" si="3"/>
        <v>24403.139793739487</v>
      </c>
      <c r="T15" s="11"/>
      <c r="U15" s="10">
        <f t="shared" si="10"/>
        <v>9597.3018323377419</v>
      </c>
      <c r="V15" s="11">
        <f t="shared" si="4"/>
        <v>8733.5446674273462</v>
      </c>
      <c r="W15" s="11">
        <f t="shared" si="5"/>
        <v>1.3651922947848852E-2</v>
      </c>
      <c r="X15" s="10">
        <f t="shared" si="6"/>
        <v>17.319578436024841</v>
      </c>
      <c r="Y15" s="16">
        <f t="shared" si="7"/>
        <v>0.86597892180124214</v>
      </c>
      <c r="Z15" s="16">
        <f t="shared" si="8"/>
        <v>1.7319578436024843</v>
      </c>
    </row>
    <row r="16" spans="4:35">
      <c r="D16" s="20">
        <v>28</v>
      </c>
      <c r="E16" s="21" t="s">
        <v>192</v>
      </c>
      <c r="F16" s="20">
        <v>50</v>
      </c>
      <c r="G16" s="21" t="s">
        <v>200</v>
      </c>
      <c r="H16" s="20">
        <v>3</v>
      </c>
      <c r="I16" s="19" t="s">
        <v>201</v>
      </c>
      <c r="J16" s="18">
        <v>81</v>
      </c>
      <c r="K16" s="18">
        <v>70274</v>
      </c>
      <c r="L16" s="18">
        <v>72885</v>
      </c>
      <c r="M16" s="17">
        <v>400</v>
      </c>
      <c r="N16" s="16">
        <f t="shared" si="0"/>
        <v>6.3091482649842268E-2</v>
      </c>
      <c r="O16" s="16">
        <f>M16/$N$45</f>
        <v>0.21739130434782608</v>
      </c>
      <c r="P16" s="10">
        <f>$I$44*O16</f>
        <v>990.86956521739125</v>
      </c>
      <c r="Q16" s="10">
        <f t="shared" si="1"/>
        <v>38309.481622824933</v>
      </c>
      <c r="R16" s="10">
        <f t="shared" si="2"/>
        <v>34861.628276770687</v>
      </c>
      <c r="S16" s="10">
        <f t="shared" si="3"/>
        <v>69723.256553541374</v>
      </c>
      <c r="T16" s="11"/>
      <c r="U16" s="10">
        <f t="shared" si="10"/>
        <v>27420.862378107831</v>
      </c>
      <c r="V16" s="11">
        <f t="shared" si="4"/>
        <v>24952.984764078126</v>
      </c>
      <c r="W16" s="11">
        <f t="shared" si="5"/>
        <v>3.9005494136710998E-2</v>
      </c>
      <c r="X16" s="10">
        <f t="shared" si="6"/>
        <v>49.484509817213826</v>
      </c>
      <c r="Y16" s="16">
        <f t="shared" si="7"/>
        <v>2.4742254908606913</v>
      </c>
      <c r="Z16" s="16">
        <f t="shared" si="8"/>
        <v>4.9484509817213826</v>
      </c>
    </row>
    <row r="17" spans="4:26">
      <c r="D17" s="20">
        <v>28</v>
      </c>
      <c r="E17" s="21" t="s">
        <v>192</v>
      </c>
      <c r="F17" s="20">
        <v>50</v>
      </c>
      <c r="G17" s="21" t="s">
        <v>200</v>
      </c>
      <c r="H17" s="20">
        <v>4</v>
      </c>
      <c r="I17" s="19" t="s">
        <v>199</v>
      </c>
      <c r="J17" s="18">
        <v>87</v>
      </c>
      <c r="K17" s="18">
        <v>103648</v>
      </c>
      <c r="L17" s="18">
        <v>106953</v>
      </c>
      <c r="M17" s="17">
        <v>400</v>
      </c>
      <c r="N17" s="16">
        <f t="shared" si="0"/>
        <v>6.3091482649842268E-2</v>
      </c>
      <c r="O17" s="16">
        <f>M17/$N$45</f>
        <v>0.21739130434782608</v>
      </c>
      <c r="P17" s="10">
        <f>$I$44*O17</f>
        <v>990.86956521739125</v>
      </c>
      <c r="Q17" s="10">
        <f t="shared" si="1"/>
        <v>38309.481622824933</v>
      </c>
      <c r="R17" s="10">
        <f t="shared" si="2"/>
        <v>34861.628276770687</v>
      </c>
      <c r="S17" s="10">
        <f t="shared" si="3"/>
        <v>69723.256553541374</v>
      </c>
      <c r="T17" s="11"/>
      <c r="U17" s="10">
        <f t="shared" si="10"/>
        <v>27420.862378107831</v>
      </c>
      <c r="V17" s="11">
        <f t="shared" si="4"/>
        <v>24952.984764078126</v>
      </c>
      <c r="W17" s="11">
        <f t="shared" si="5"/>
        <v>3.9005494136710998E-2</v>
      </c>
      <c r="X17" s="10">
        <f t="shared" si="6"/>
        <v>49.484509817213826</v>
      </c>
      <c r="Y17" s="16">
        <f t="shared" si="7"/>
        <v>2.4742254908606913</v>
      </c>
      <c r="Z17" s="16">
        <f t="shared" si="8"/>
        <v>4.9484509817213826</v>
      </c>
    </row>
    <row r="18" spans="4:26">
      <c r="D18" s="20">
        <v>28</v>
      </c>
      <c r="E18" s="21" t="s">
        <v>192</v>
      </c>
      <c r="F18" s="20">
        <v>61</v>
      </c>
      <c r="G18" s="21" t="s">
        <v>196</v>
      </c>
      <c r="H18" s="20">
        <v>1</v>
      </c>
      <c r="I18" s="19" t="s">
        <v>198</v>
      </c>
      <c r="J18" s="18">
        <v>111</v>
      </c>
      <c r="K18" s="18">
        <v>85380</v>
      </c>
      <c r="L18" s="18">
        <v>87795</v>
      </c>
      <c r="M18" s="17">
        <v>400</v>
      </c>
      <c r="N18" s="16">
        <f t="shared" si="0"/>
        <v>6.3091482649842268E-2</v>
      </c>
      <c r="O18" s="16">
        <f>M18/$N$46</f>
        <v>0.17777777777777778</v>
      </c>
      <c r="P18" s="10">
        <f>$I$45*O18</f>
        <v>369.77777777777777</v>
      </c>
      <c r="Q18" s="10">
        <f t="shared" si="1"/>
        <v>14296.528503425048</v>
      </c>
      <c r="R18" s="10">
        <f t="shared" si="2"/>
        <v>13009.840938116795</v>
      </c>
      <c r="S18" s="10">
        <f t="shared" si="3"/>
        <v>26019.68187623359</v>
      </c>
      <c r="T18" s="11"/>
      <c r="U18" s="10">
        <f t="shared" si="10"/>
        <v>27420.862378107831</v>
      </c>
      <c r="V18" s="11">
        <f t="shared" si="4"/>
        <v>24952.984764078126</v>
      </c>
      <c r="W18" s="11">
        <f t="shared" si="5"/>
        <v>3.9005494136710998E-2</v>
      </c>
      <c r="X18" s="10">
        <f t="shared" si="6"/>
        <v>49.484509817213826</v>
      </c>
      <c r="Y18" s="16">
        <f t="shared" si="7"/>
        <v>2.4742254908606913</v>
      </c>
      <c r="Z18" s="16">
        <f t="shared" si="8"/>
        <v>4.9484509817213826</v>
      </c>
    </row>
    <row r="19" spans="4:26">
      <c r="D19" s="20">
        <v>28</v>
      </c>
      <c r="E19" s="21" t="s">
        <v>192</v>
      </c>
      <c r="F19" s="20">
        <v>61</v>
      </c>
      <c r="G19" s="21" t="s">
        <v>196</v>
      </c>
      <c r="H19" s="20">
        <v>2</v>
      </c>
      <c r="I19" s="19" t="s">
        <v>197</v>
      </c>
      <c r="J19" s="18">
        <v>123</v>
      </c>
      <c r="K19" s="18">
        <v>108122</v>
      </c>
      <c r="L19" s="18">
        <v>111212</v>
      </c>
      <c r="M19" s="17">
        <v>1000</v>
      </c>
      <c r="N19" s="16">
        <f t="shared" si="0"/>
        <v>0.15772870662460567</v>
      </c>
      <c r="O19" s="16">
        <f>M19/$N$46</f>
        <v>0.44444444444444442</v>
      </c>
      <c r="P19" s="10">
        <f>$I$45*O19</f>
        <v>924.44444444444434</v>
      </c>
      <c r="Q19" s="10">
        <f t="shared" si="1"/>
        <v>35741.321258562617</v>
      </c>
      <c r="R19" s="10">
        <f t="shared" si="2"/>
        <v>32524.602345291984</v>
      </c>
      <c r="S19" s="10">
        <f t="shared" si="3"/>
        <v>65049.204690583967</v>
      </c>
      <c r="T19" s="11"/>
      <c r="U19" s="10">
        <f t="shared" si="10"/>
        <v>68552.15594526958</v>
      </c>
      <c r="V19" s="11">
        <f t="shared" si="4"/>
        <v>62382.461910195321</v>
      </c>
      <c r="W19" s="11">
        <f t="shared" si="5"/>
        <v>9.7513735341777499E-2</v>
      </c>
      <c r="X19" s="10">
        <f t="shared" si="6"/>
        <v>123.71127454303455</v>
      </c>
      <c r="Y19" s="16">
        <f t="shared" si="7"/>
        <v>6.1855637271517274</v>
      </c>
      <c r="Z19" s="16">
        <f t="shared" si="8"/>
        <v>12.371127454303455</v>
      </c>
    </row>
    <row r="20" spans="4:26" ht="25.5">
      <c r="D20" s="20">
        <v>28</v>
      </c>
      <c r="E20" s="21" t="s">
        <v>192</v>
      </c>
      <c r="F20" s="20">
        <v>61</v>
      </c>
      <c r="G20" s="21" t="s">
        <v>196</v>
      </c>
      <c r="H20" s="20">
        <v>3</v>
      </c>
      <c r="I20" s="19" t="s">
        <v>195</v>
      </c>
      <c r="J20" s="18">
        <v>151</v>
      </c>
      <c r="K20" s="18">
        <v>84973</v>
      </c>
      <c r="L20" s="18">
        <v>87272</v>
      </c>
      <c r="M20" s="17">
        <v>850</v>
      </c>
      <c r="N20" s="16">
        <f t="shared" si="0"/>
        <v>0.13406940063091483</v>
      </c>
      <c r="O20" s="16">
        <f>M20/$N$46</f>
        <v>0.37777777777777777</v>
      </c>
      <c r="P20" s="10">
        <f>$I$45*O20</f>
        <v>785.77777777777771</v>
      </c>
      <c r="Q20" s="10">
        <f t="shared" si="1"/>
        <v>30380.123069778227</v>
      </c>
      <c r="R20" s="10">
        <f t="shared" si="2"/>
        <v>27645.911993498186</v>
      </c>
      <c r="S20" s="10">
        <f t="shared" si="3"/>
        <v>55291.823986996373</v>
      </c>
      <c r="T20" s="11"/>
      <c r="U20" s="10">
        <f t="shared" si="10"/>
        <v>58269.332553479144</v>
      </c>
      <c r="V20" s="11">
        <f t="shared" si="4"/>
        <v>53025.092623666023</v>
      </c>
      <c r="W20" s="11">
        <f t="shared" si="5"/>
        <v>8.2886675040510879E-2</v>
      </c>
      <c r="X20" s="10">
        <f t="shared" si="6"/>
        <v>105.15458336157938</v>
      </c>
      <c r="Y20" s="16">
        <f t="shared" si="7"/>
        <v>5.2577291680789697</v>
      </c>
      <c r="Z20" s="16">
        <f t="shared" si="8"/>
        <v>10.515458336157939</v>
      </c>
    </row>
    <row r="21" spans="4:26" ht="25.5">
      <c r="D21" s="20">
        <v>28</v>
      </c>
      <c r="E21" s="21" t="s">
        <v>192</v>
      </c>
      <c r="F21" s="20">
        <v>76</v>
      </c>
      <c r="G21" s="21" t="s">
        <v>191</v>
      </c>
      <c r="H21" s="20">
        <v>1</v>
      </c>
      <c r="I21" s="19" t="s">
        <v>194</v>
      </c>
      <c r="J21" s="18">
        <v>343</v>
      </c>
      <c r="K21" s="18">
        <v>232723</v>
      </c>
      <c r="L21" s="18">
        <v>238071</v>
      </c>
      <c r="M21" s="17">
        <f>1/6</f>
        <v>0.16666666666666666</v>
      </c>
      <c r="N21" s="16"/>
      <c r="O21" s="16">
        <f>$I$47*0.4</f>
        <v>1379.6000000000001</v>
      </c>
      <c r="P21" s="10">
        <f>O21</f>
        <v>1379.6000000000001</v>
      </c>
      <c r="Q21" s="10">
        <f t="shared" si="1"/>
        <v>53338.766980146276</v>
      </c>
      <c r="R21" s="10">
        <f t="shared" si="2"/>
        <v>48538.277951933116</v>
      </c>
      <c r="S21" s="10">
        <f t="shared" si="3"/>
        <v>97076.555903866232</v>
      </c>
      <c r="T21" s="11"/>
      <c r="U21" s="10">
        <f>M21*$O$44</f>
        <v>44729.888551165146</v>
      </c>
      <c r="V21" s="11">
        <f t="shared" si="4"/>
        <v>40704.198581560282</v>
      </c>
      <c r="W21" s="11">
        <f t="shared" si="5"/>
        <v>6.3627152988855115E-2</v>
      </c>
      <c r="X21" s="10">
        <f t="shared" si="6"/>
        <v>80.720897053192886</v>
      </c>
      <c r="Y21" s="16">
        <f t="shared" si="7"/>
        <v>4.0360448526596446</v>
      </c>
      <c r="Z21" s="16">
        <f t="shared" si="8"/>
        <v>8.0720897053192893</v>
      </c>
    </row>
    <row r="22" spans="4:26" ht="25.5">
      <c r="D22" s="20">
        <v>28</v>
      </c>
      <c r="E22" s="21" t="s">
        <v>192</v>
      </c>
      <c r="F22" s="20">
        <v>76</v>
      </c>
      <c r="G22" s="21" t="s">
        <v>191</v>
      </c>
      <c r="H22" s="20">
        <v>2</v>
      </c>
      <c r="I22" s="19" t="s">
        <v>193</v>
      </c>
      <c r="J22" s="18">
        <v>149</v>
      </c>
      <c r="K22" s="18">
        <v>383415</v>
      </c>
      <c r="L22" s="18">
        <v>388909</v>
      </c>
      <c r="M22" s="17">
        <f>1/6</f>
        <v>0.16666666666666666</v>
      </c>
      <c r="N22" s="16"/>
      <c r="O22" s="16">
        <f>$I$47*0.25</f>
        <v>862.25</v>
      </c>
      <c r="P22" s="10">
        <f>O22</f>
        <v>862.25</v>
      </c>
      <c r="Q22" s="10">
        <f t="shared" si="1"/>
        <v>33336.729362591417</v>
      </c>
      <c r="R22" s="10">
        <f t="shared" si="2"/>
        <v>30336.423719958191</v>
      </c>
      <c r="S22" s="10">
        <f t="shared" si="3"/>
        <v>60672.847439916382</v>
      </c>
      <c r="T22" s="11"/>
      <c r="U22" s="10">
        <f>M22*$O$44</f>
        <v>44729.888551165146</v>
      </c>
      <c r="V22" s="11">
        <f t="shared" si="4"/>
        <v>40704.198581560282</v>
      </c>
      <c r="W22" s="11">
        <f t="shared" si="5"/>
        <v>6.3627152988855115E-2</v>
      </c>
      <c r="X22" s="10">
        <f t="shared" si="6"/>
        <v>80.720897053192886</v>
      </c>
      <c r="Y22" s="16">
        <f t="shared" si="7"/>
        <v>4.0360448526596446</v>
      </c>
      <c r="Z22" s="16">
        <f t="shared" si="8"/>
        <v>8.0720897053192893</v>
      </c>
    </row>
    <row r="23" spans="4:26" ht="25.5">
      <c r="D23" s="20">
        <v>28</v>
      </c>
      <c r="E23" s="21" t="s">
        <v>192</v>
      </c>
      <c r="F23" s="20">
        <v>76</v>
      </c>
      <c r="G23" s="21" t="s">
        <v>191</v>
      </c>
      <c r="H23" s="20">
        <v>3</v>
      </c>
      <c r="I23" s="19" t="s">
        <v>190</v>
      </c>
      <c r="J23" s="18">
        <v>216</v>
      </c>
      <c r="K23" s="18">
        <v>638601</v>
      </c>
      <c r="L23" s="18">
        <v>648402</v>
      </c>
      <c r="M23" s="17">
        <f>1/6</f>
        <v>0.16666666666666666</v>
      </c>
      <c r="N23" s="16"/>
      <c r="O23" s="16">
        <f>$I$47*0.35</f>
        <v>1207.1499999999999</v>
      </c>
      <c r="P23" s="10">
        <f>O23</f>
        <v>1207.1499999999999</v>
      </c>
      <c r="Q23" s="10">
        <f t="shared" si="1"/>
        <v>46671.421107627983</v>
      </c>
      <c r="R23" s="10">
        <f t="shared" si="2"/>
        <v>42470.993207941465</v>
      </c>
      <c r="S23" s="10">
        <f t="shared" si="3"/>
        <v>84941.98641588293</v>
      </c>
      <c r="T23" s="11"/>
      <c r="U23" s="10">
        <f>M23*$O$44</f>
        <v>44729.888551165146</v>
      </c>
      <c r="V23" s="11">
        <f t="shared" si="4"/>
        <v>40704.198581560282</v>
      </c>
      <c r="W23" s="11">
        <f t="shared" si="5"/>
        <v>6.3627152988855115E-2</v>
      </c>
      <c r="X23" s="10">
        <f t="shared" si="6"/>
        <v>80.720897053192886</v>
      </c>
      <c r="Y23" s="16">
        <f t="shared" si="7"/>
        <v>4.0360448526596446</v>
      </c>
      <c r="Z23" s="16">
        <f t="shared" si="8"/>
        <v>8.0720897053192893</v>
      </c>
    </row>
    <row r="24" spans="4:26">
      <c r="I24" s="15" t="s">
        <v>154</v>
      </c>
      <c r="J24" s="9"/>
      <c r="K24" s="9"/>
      <c r="L24" s="9"/>
      <c r="M24" s="14"/>
      <c r="N24" s="14"/>
      <c r="O24" s="14"/>
      <c r="P24" s="8">
        <f>SUM(P7:P23)</f>
        <v>18183.000000000007</v>
      </c>
      <c r="Q24" s="8">
        <f>SUM(Q7:Q23)</f>
        <v>702999.99999999977</v>
      </c>
      <c r="R24" s="8">
        <f t="shared" si="2"/>
        <v>639729.99999999977</v>
      </c>
      <c r="S24" s="8">
        <f t="shared" si="3"/>
        <v>1279459.9999999995</v>
      </c>
      <c r="T24" s="9"/>
      <c r="U24" s="8">
        <f>SUM(U7:U23)</f>
        <v>702999.99999999988</v>
      </c>
      <c r="V24" s="9">
        <f>SUM(V7:V23)</f>
        <v>639730</v>
      </c>
      <c r="W24" s="9">
        <f>SUM(W7:W23)</f>
        <v>1</v>
      </c>
      <c r="X24" s="14">
        <f t="shared" si="6"/>
        <v>1268.6548629219963</v>
      </c>
      <c r="Y24" s="14">
        <f>SUM(Y7:Y23)</f>
        <v>63.43274314609981</v>
      </c>
      <c r="Z24" s="14">
        <f>SUM(Z7:Z23)</f>
        <v>126.86548629219962</v>
      </c>
    </row>
    <row r="25" spans="4:26" hidden="1">
      <c r="P25" s="6">
        <f>Q25/P24</f>
        <v>38.662486938348991</v>
      </c>
      <c r="Q25" s="6">
        <v>703000</v>
      </c>
      <c r="R25" s="6">
        <f t="shared" si="2"/>
        <v>639730</v>
      </c>
      <c r="S25" s="6">
        <f t="shared" si="3"/>
        <v>1279460</v>
      </c>
      <c r="U25" s="5">
        <v>703000</v>
      </c>
      <c r="X25" s="5">
        <f>SUM(X7:X23)</f>
        <v>1268.6548629219963</v>
      </c>
    </row>
    <row r="26" spans="4:26" hidden="1"/>
    <row r="27" spans="4:26" hidden="1"/>
    <row r="28" spans="4:26" hidden="1"/>
    <row r="29" spans="4:26" hidden="1"/>
    <row r="30" spans="4:26" hidden="1"/>
    <row r="31" spans="4:26" hidden="1"/>
    <row r="32" spans="4:26" hidden="1"/>
    <row r="33" spans="7:25" hidden="1"/>
    <row r="34" spans="7:25" hidden="1"/>
    <row r="35" spans="7:25" hidden="1"/>
    <row r="36" spans="7:25" hidden="1"/>
    <row r="37" spans="7:25" hidden="1"/>
    <row r="38" spans="7:25" hidden="1"/>
    <row r="39" spans="7:25" hidden="1"/>
    <row r="40" spans="7:25" hidden="1"/>
    <row r="41" spans="7:25" hidden="1">
      <c r="G41" s="7"/>
      <c r="H41" s="7"/>
      <c r="I41" s="7"/>
      <c r="J41" s="6"/>
      <c r="K41" s="6"/>
      <c r="L41" s="6"/>
      <c r="M41" s="6"/>
      <c r="N41" s="5"/>
      <c r="O41" s="5"/>
      <c r="P41" s="5"/>
      <c r="Q41" s="5"/>
      <c r="R41" s="5"/>
      <c r="S41" s="5"/>
      <c r="U41" s="5" t="s">
        <v>189</v>
      </c>
    </row>
    <row r="42" spans="7:25" hidden="1">
      <c r="G42" s="7"/>
      <c r="H42" s="7"/>
      <c r="I42" s="7"/>
      <c r="J42" s="6"/>
      <c r="K42" s="6"/>
      <c r="L42" s="6"/>
      <c r="M42" s="6"/>
      <c r="N42" s="5"/>
      <c r="O42" s="5"/>
      <c r="P42" s="5"/>
      <c r="Q42" s="5"/>
      <c r="R42" s="5"/>
      <c r="S42" s="5"/>
      <c r="T42" s="5" t="s">
        <v>188</v>
      </c>
      <c r="U42" s="5" t="s">
        <v>187</v>
      </c>
      <c r="V42" s="5" t="s">
        <v>186</v>
      </c>
      <c r="W42" s="5" t="s">
        <v>185</v>
      </c>
      <c r="X42" s="5" t="s">
        <v>184</v>
      </c>
      <c r="Y42" s="5" t="s">
        <v>183</v>
      </c>
    </row>
    <row r="43" spans="7:25" hidden="1">
      <c r="G43" s="7" t="s">
        <v>182</v>
      </c>
      <c r="H43" s="7" t="s">
        <v>181</v>
      </c>
      <c r="I43" s="7">
        <v>3538</v>
      </c>
      <c r="J43" s="6"/>
      <c r="K43" s="6" t="s">
        <v>180</v>
      </c>
      <c r="L43" s="6"/>
      <c r="M43" s="6"/>
      <c r="N43" s="13">
        <f>SUM(M7:M10)</f>
        <v>2250</v>
      </c>
      <c r="O43" s="5">
        <f>U25*P46</f>
        <v>434620.66869300912</v>
      </c>
      <c r="P43" s="5"/>
      <c r="Q43" s="5"/>
      <c r="R43" s="5"/>
      <c r="S43" s="5" t="s">
        <v>162</v>
      </c>
      <c r="T43" s="5">
        <v>0.43</v>
      </c>
      <c r="U43" s="5">
        <f t="shared" ref="U43:U49" si="11">T43*$V$24</f>
        <v>275083.90000000002</v>
      </c>
      <c r="V43" s="5">
        <f t="shared" ref="V43:V49" si="12">U43*$I$55*2</f>
        <v>239608.39488351977</v>
      </c>
      <c r="W43" s="5">
        <f t="shared" ref="W43:W49" si="13">(U43*$J$55)*$N$56</f>
        <v>241013.5897835177</v>
      </c>
      <c r="X43" s="5">
        <f t="shared" ref="X43:X49" si="14">$K$55*U43</f>
        <v>64899.606389421002</v>
      </c>
      <c r="Y43" s="5">
        <f t="shared" ref="Y43:Y49" si="15">SUM(V43:X43)</f>
        <v>545521.59105645854</v>
      </c>
    </row>
    <row r="44" spans="7:25" hidden="1">
      <c r="G44" s="7" t="s">
        <v>175</v>
      </c>
      <c r="H44" s="7" t="s">
        <v>179</v>
      </c>
      <c r="I44" s="7">
        <v>4558</v>
      </c>
      <c r="J44" s="6"/>
      <c r="K44" s="6"/>
      <c r="L44" s="6"/>
      <c r="M44" s="6"/>
      <c r="N44" s="5"/>
      <c r="O44" s="5">
        <f>P47*U25</f>
        <v>268379.33130699088</v>
      </c>
      <c r="P44" s="5"/>
      <c r="Q44" s="5"/>
      <c r="R44" s="5"/>
      <c r="S44" s="5" t="s">
        <v>160</v>
      </c>
      <c r="T44" s="5">
        <v>7.0000000000000007E-2</v>
      </c>
      <c r="U44" s="5">
        <f t="shared" si="11"/>
        <v>44781.100000000006</v>
      </c>
      <c r="V44" s="5">
        <f t="shared" si="12"/>
        <v>39006.01777173578</v>
      </c>
      <c r="W44" s="5">
        <f t="shared" si="13"/>
        <v>39234.770429874974</v>
      </c>
      <c r="X44" s="5">
        <f t="shared" si="14"/>
        <v>10565.052202929</v>
      </c>
      <c r="Y44" s="5">
        <f t="shared" si="15"/>
        <v>88805.840404539762</v>
      </c>
    </row>
    <row r="45" spans="7:25" hidden="1">
      <c r="G45" s="7"/>
      <c r="H45" s="7" t="s">
        <v>178</v>
      </c>
      <c r="I45" s="7">
        <v>2080</v>
      </c>
      <c r="J45" s="6"/>
      <c r="K45" s="6"/>
      <c r="L45" s="6"/>
      <c r="M45" s="6"/>
      <c r="N45" s="13">
        <f>SUM(M14:M17)</f>
        <v>1840</v>
      </c>
      <c r="O45" s="5"/>
      <c r="P45" s="5"/>
      <c r="Q45" s="5"/>
      <c r="R45" s="5"/>
      <c r="S45" s="5" t="s">
        <v>159</v>
      </c>
      <c r="T45" s="5">
        <v>0.05</v>
      </c>
      <c r="U45" s="5">
        <f t="shared" si="11"/>
        <v>31986.5</v>
      </c>
      <c r="V45" s="5">
        <f t="shared" si="12"/>
        <v>27861.441265525551</v>
      </c>
      <c r="W45" s="5">
        <f t="shared" si="13"/>
        <v>28024.836021339263</v>
      </c>
      <c r="X45" s="5">
        <f t="shared" si="14"/>
        <v>7546.4658592349997</v>
      </c>
      <c r="Y45" s="5">
        <f t="shared" si="15"/>
        <v>63432.74314609982</v>
      </c>
    </row>
    <row r="46" spans="7:25" hidden="1">
      <c r="G46" s="7" t="s">
        <v>177</v>
      </c>
      <c r="H46" s="7" t="s">
        <v>176</v>
      </c>
      <c r="I46" s="7">
        <v>4190</v>
      </c>
      <c r="J46" s="6"/>
      <c r="K46" s="6"/>
      <c r="L46" s="6"/>
      <c r="M46" s="6"/>
      <c r="N46" s="13">
        <f>SUM(M18:M20)</f>
        <v>2250</v>
      </c>
      <c r="O46" s="5">
        <v>203400</v>
      </c>
      <c r="P46" s="5">
        <f>O46/O48</f>
        <v>0.61823708206686934</v>
      </c>
      <c r="Q46" s="5"/>
      <c r="R46" s="5"/>
      <c r="S46" s="5" t="s">
        <v>158</v>
      </c>
      <c r="T46" s="5">
        <v>0.2</v>
      </c>
      <c r="U46" s="5">
        <f t="shared" si="11"/>
        <v>127946</v>
      </c>
      <c r="V46" s="5">
        <f t="shared" si="12"/>
        <v>111445.7650621022</v>
      </c>
      <c r="W46" s="5">
        <f t="shared" si="13"/>
        <v>112099.34408535705</v>
      </c>
      <c r="X46" s="5">
        <f t="shared" si="14"/>
        <v>30185.863436939999</v>
      </c>
      <c r="Y46" s="5">
        <f t="shared" si="15"/>
        <v>253730.97258439928</v>
      </c>
    </row>
    <row r="47" spans="7:25" hidden="1">
      <c r="G47" s="7" t="s">
        <v>175</v>
      </c>
      <c r="H47" s="7" t="s">
        <v>174</v>
      </c>
      <c r="I47" s="7">
        <v>3449</v>
      </c>
      <c r="J47" s="6"/>
      <c r="K47" s="6"/>
      <c r="L47" s="6"/>
      <c r="M47" s="6"/>
      <c r="N47" s="5"/>
      <c r="O47" s="5">
        <v>125600</v>
      </c>
      <c r="P47" s="5">
        <f>O47/O48</f>
        <v>0.38176291793313072</v>
      </c>
      <c r="Q47" s="5"/>
      <c r="R47" s="5"/>
      <c r="S47" s="5" t="s">
        <v>157</v>
      </c>
      <c r="T47" s="5">
        <v>0.06</v>
      </c>
      <c r="U47" s="5">
        <f t="shared" si="11"/>
        <v>38383.799999999996</v>
      </c>
      <c r="V47" s="5">
        <f t="shared" si="12"/>
        <v>33433.729518630658</v>
      </c>
      <c r="W47" s="5">
        <f t="shared" si="13"/>
        <v>33629.803225607116</v>
      </c>
      <c r="X47" s="5">
        <f t="shared" si="14"/>
        <v>9055.7590310819996</v>
      </c>
      <c r="Y47" s="5">
        <f t="shared" si="15"/>
        <v>76119.291775319769</v>
      </c>
    </row>
    <row r="48" spans="7:25" hidden="1">
      <c r="G48" s="7" t="s">
        <v>173</v>
      </c>
      <c r="H48" s="7"/>
      <c r="I48" s="7">
        <f>SUM(I43:I47)</f>
        <v>17815</v>
      </c>
      <c r="J48" s="6"/>
      <c r="K48" s="6"/>
      <c r="L48" s="6"/>
      <c r="M48" s="6"/>
      <c r="N48" s="5"/>
      <c r="O48" s="5">
        <f>O47+O46</f>
        <v>329000</v>
      </c>
      <c r="P48" s="5">
        <f>P47+P46</f>
        <v>1</v>
      </c>
      <c r="Q48" s="5"/>
      <c r="R48" s="5"/>
      <c r="S48" s="5" t="s">
        <v>156</v>
      </c>
      <c r="T48" s="5">
        <v>0.15</v>
      </c>
      <c r="U48" s="5">
        <f t="shared" si="11"/>
        <v>95959.5</v>
      </c>
      <c r="V48" s="5">
        <f t="shared" si="12"/>
        <v>83584.32379657666</v>
      </c>
      <c r="W48" s="5">
        <f t="shared" si="13"/>
        <v>84074.508064017791</v>
      </c>
      <c r="X48" s="5">
        <f t="shared" si="14"/>
        <v>22639.397577705</v>
      </c>
      <c r="Y48" s="5">
        <f t="shared" si="15"/>
        <v>190298.22943829946</v>
      </c>
    </row>
    <row r="49" spans="7:25" hidden="1">
      <c r="G49" s="7"/>
      <c r="H49" s="7"/>
      <c r="I49" s="7"/>
      <c r="J49" s="6"/>
      <c r="K49" s="6"/>
      <c r="L49" s="6"/>
      <c r="M49" s="6"/>
      <c r="N49" s="5"/>
      <c r="O49" s="5"/>
      <c r="P49" s="5"/>
      <c r="Q49" s="5"/>
      <c r="R49" s="5"/>
      <c r="S49" s="5" t="s">
        <v>155</v>
      </c>
      <c r="T49" s="5">
        <v>0.04</v>
      </c>
      <c r="U49" s="5">
        <f t="shared" si="11"/>
        <v>25589.200000000001</v>
      </c>
      <c r="V49" s="5">
        <f t="shared" si="12"/>
        <v>22289.15301242044</v>
      </c>
      <c r="W49" s="5">
        <f t="shared" si="13"/>
        <v>22419.868817071409</v>
      </c>
      <c r="X49" s="5">
        <f t="shared" si="14"/>
        <v>6037.1726873879998</v>
      </c>
      <c r="Y49" s="5">
        <f t="shared" si="15"/>
        <v>50746.194516879841</v>
      </c>
    </row>
    <row r="50" spans="7:25" hidden="1">
      <c r="G50" s="7">
        <v>6340</v>
      </c>
      <c r="H50" s="7"/>
      <c r="I50" s="7"/>
      <c r="J50" s="6"/>
      <c r="K50" s="6"/>
      <c r="L50" s="6"/>
      <c r="M50" s="6"/>
      <c r="N50" s="5"/>
      <c r="O50" s="5"/>
      <c r="P50" s="5"/>
      <c r="Q50" s="5"/>
      <c r="R50" s="5"/>
      <c r="S50" s="5" t="s">
        <v>154</v>
      </c>
      <c r="T50" s="5">
        <f t="shared" ref="T50:Y50" si="16">SUM(T43:T49)</f>
        <v>1</v>
      </c>
      <c r="U50" s="5">
        <f t="shared" si="16"/>
        <v>639730</v>
      </c>
      <c r="V50" s="5">
        <f t="shared" si="16"/>
        <v>557228.82531051105</v>
      </c>
      <c r="W50" s="5">
        <f t="shared" si="16"/>
        <v>560496.72042678529</v>
      </c>
      <c r="X50" s="5">
        <f t="shared" si="16"/>
        <v>150929.31718469999</v>
      </c>
      <c r="Y50" s="5">
        <f t="shared" si="16"/>
        <v>1268654.8629219963</v>
      </c>
    </row>
    <row r="51" spans="7:25" hidden="1">
      <c r="G51" s="7">
        <f>SUM(M14:M20,M7:M10)</f>
        <v>6340</v>
      </c>
      <c r="H51" s="7"/>
      <c r="I51" s="7"/>
      <c r="J51" s="6"/>
      <c r="K51" s="6"/>
      <c r="L51" s="6"/>
      <c r="M51" s="6"/>
      <c r="N51" s="5"/>
      <c r="O51" s="5"/>
      <c r="P51" s="5"/>
      <c r="Q51" s="5"/>
      <c r="R51" s="5"/>
      <c r="S51" s="5"/>
    </row>
    <row r="52" spans="7:25" hidden="1">
      <c r="G52" s="7"/>
      <c r="H52" s="7"/>
      <c r="I52" s="7"/>
      <c r="J52" s="6"/>
      <c r="K52" s="6"/>
      <c r="L52" s="6"/>
      <c r="M52" s="6"/>
      <c r="N52" s="5"/>
      <c r="O52" s="5"/>
      <c r="P52" s="5"/>
      <c r="Q52" s="5"/>
      <c r="R52" s="5"/>
      <c r="S52" s="5"/>
    </row>
    <row r="53" spans="7:25" hidden="1">
      <c r="G53" s="7"/>
      <c r="H53" s="7"/>
      <c r="I53" s="7" t="s">
        <v>171</v>
      </c>
      <c r="J53" s="6" t="s">
        <v>170</v>
      </c>
      <c r="K53" s="6" t="s">
        <v>169</v>
      </c>
      <c r="L53" s="6"/>
      <c r="M53" s="6"/>
      <c r="N53" s="5"/>
      <c r="O53" s="5"/>
      <c r="P53" s="5"/>
      <c r="Q53" s="5"/>
      <c r="R53" s="5"/>
      <c r="S53" s="5"/>
    </row>
    <row r="54" spans="7:25" hidden="1">
      <c r="G54" s="7" t="s">
        <v>163</v>
      </c>
      <c r="H54" s="7">
        <f>SUM(I54:K54)</f>
        <v>16183</v>
      </c>
      <c r="I54" s="7">
        <v>7048</v>
      </c>
      <c r="J54" s="6">
        <v>5317</v>
      </c>
      <c r="K54" s="6">
        <v>3818</v>
      </c>
      <c r="L54" s="6"/>
      <c r="M54" s="6"/>
      <c r="N54" s="5"/>
      <c r="O54" s="5"/>
      <c r="P54" s="5"/>
      <c r="Q54" s="5"/>
      <c r="R54" s="5"/>
      <c r="S54" s="5"/>
    </row>
    <row r="55" spans="7:25" hidden="1">
      <c r="G55" s="7"/>
      <c r="H55" s="7" t="s">
        <v>161</v>
      </c>
      <c r="I55" s="7">
        <f>I54/$H$54</f>
        <v>0.43551875424828523</v>
      </c>
      <c r="J55" s="7">
        <f>J54/$H$54</f>
        <v>0.3285546561206204</v>
      </c>
      <c r="K55" s="7">
        <f>K54/$H$54</f>
        <v>0.23592658963109436</v>
      </c>
      <c r="L55" s="6">
        <f>SUM(I55:K55)</f>
        <v>1</v>
      </c>
      <c r="M55" s="6"/>
      <c r="N55" s="5"/>
      <c r="O55" s="5"/>
      <c r="P55" s="5"/>
      <c r="Q55" s="5"/>
      <c r="R55" s="5"/>
      <c r="S55" s="5"/>
    </row>
    <row r="56" spans="7:25" hidden="1">
      <c r="G56" s="7"/>
      <c r="H56" s="7"/>
      <c r="I56" s="7"/>
      <c r="J56" s="6"/>
      <c r="K56" s="6"/>
      <c r="L56" s="6"/>
      <c r="M56" s="6"/>
      <c r="N56" s="5">
        <f>1000/375</f>
        <v>2.6666666666666665</v>
      </c>
      <c r="O56" s="5"/>
      <c r="P56" s="5"/>
      <c r="Q56" s="5"/>
      <c r="R56" s="5"/>
      <c r="S56" s="5"/>
    </row>
    <row r="57" spans="7:25" hidden="1">
      <c r="G57" s="7"/>
      <c r="H57" s="7"/>
      <c r="I57" s="7"/>
      <c r="J57" s="6"/>
      <c r="K57" s="6"/>
      <c r="L57" s="6"/>
      <c r="M57" s="6"/>
      <c r="N57" s="5"/>
      <c r="O57" s="5"/>
      <c r="P57" s="5"/>
      <c r="Q57" s="5"/>
      <c r="R57" s="5"/>
      <c r="S57" s="5"/>
    </row>
    <row r="58" spans="7:25" hidden="1">
      <c r="G58" s="7"/>
      <c r="H58" s="7"/>
      <c r="I58" s="7"/>
      <c r="J58" s="6"/>
      <c r="K58" s="6"/>
      <c r="L58" s="6"/>
      <c r="M58" s="6"/>
      <c r="N58" s="5"/>
      <c r="O58" s="5"/>
      <c r="P58" s="5"/>
      <c r="Q58" s="5"/>
      <c r="R58" s="5"/>
      <c r="S58" s="5"/>
    </row>
    <row r="59" spans="7:25" hidden="1">
      <c r="G59" s="7"/>
      <c r="H59" s="7"/>
      <c r="I59" s="7"/>
      <c r="J59" s="6"/>
      <c r="K59" s="6"/>
      <c r="L59" s="6"/>
      <c r="M59" s="6"/>
      <c r="N59" s="5"/>
      <c r="O59" s="5"/>
      <c r="P59" s="5"/>
      <c r="Q59" s="5"/>
      <c r="R59" s="5"/>
      <c r="S59" s="5"/>
    </row>
    <row r="60" spans="7:25" hidden="1">
      <c r="G60" s="7"/>
      <c r="H60" s="7"/>
      <c r="I60" s="7"/>
      <c r="J60" s="6"/>
      <c r="K60" s="6"/>
      <c r="L60" s="6"/>
      <c r="M60" s="6"/>
      <c r="N60" s="5"/>
      <c r="O60" s="5"/>
      <c r="P60" s="5"/>
      <c r="Q60" s="5"/>
      <c r="R60" s="5"/>
      <c r="S60" s="5"/>
    </row>
    <row r="61" spans="7:25" hidden="1">
      <c r="G61" s="7"/>
      <c r="H61" s="7"/>
      <c r="I61" s="7"/>
      <c r="J61" s="6"/>
      <c r="K61" s="6"/>
      <c r="L61" s="6"/>
      <c r="M61" s="6"/>
      <c r="N61" s="5"/>
      <c r="O61" s="5"/>
      <c r="P61" s="5"/>
      <c r="Q61" s="5"/>
      <c r="R61" s="5"/>
      <c r="S61" s="5"/>
    </row>
    <row r="62" spans="7:25" hidden="1">
      <c r="G62" s="7"/>
      <c r="H62" s="7"/>
      <c r="I62" s="7"/>
      <c r="J62" s="6"/>
      <c r="K62" s="6"/>
      <c r="L62" s="6"/>
      <c r="M62" s="6"/>
      <c r="N62" s="5"/>
      <c r="O62" s="5"/>
      <c r="P62" s="5"/>
      <c r="Q62" s="5"/>
      <c r="R62" s="5"/>
      <c r="S62" s="5"/>
    </row>
    <row r="63" spans="7:25" hidden="1">
      <c r="G63" s="7"/>
      <c r="H63" s="7"/>
      <c r="I63" s="7"/>
      <c r="J63" s="6"/>
      <c r="K63" s="6"/>
      <c r="L63" s="6"/>
      <c r="M63" s="6"/>
      <c r="N63" s="5"/>
      <c r="O63" s="5"/>
      <c r="P63" s="5"/>
      <c r="Q63" s="5"/>
      <c r="R63" s="5"/>
      <c r="S63" s="5"/>
    </row>
    <row r="64" spans="7:25" hidden="1">
      <c r="G64" s="7"/>
      <c r="H64" s="7"/>
      <c r="I64" s="7"/>
      <c r="J64" s="6"/>
      <c r="K64" s="6"/>
      <c r="L64" s="6"/>
      <c r="M64" s="6"/>
      <c r="N64" s="5"/>
      <c r="O64" s="5"/>
      <c r="P64" s="5"/>
      <c r="Q64" s="5"/>
      <c r="R64" s="5"/>
      <c r="S64" s="5"/>
    </row>
    <row r="65" spans="7:19" hidden="1">
      <c r="G65" s="7"/>
      <c r="H65" s="7"/>
      <c r="I65" s="7"/>
      <c r="J65" s="6"/>
      <c r="K65" s="6"/>
      <c r="L65" s="6"/>
      <c r="M65" s="6"/>
      <c r="N65" s="5"/>
      <c r="O65" s="5"/>
      <c r="P65" s="5"/>
      <c r="Q65" s="5"/>
      <c r="R65" s="5"/>
      <c r="S65" s="5"/>
    </row>
    <row r="66" spans="7:19" hidden="1">
      <c r="G66" s="7"/>
      <c r="H66" s="7"/>
      <c r="I66" s="7"/>
      <c r="J66" s="6"/>
      <c r="K66" s="6"/>
      <c r="L66" s="6"/>
      <c r="M66" s="6"/>
      <c r="N66" s="5"/>
      <c r="O66" s="5"/>
      <c r="P66" s="5"/>
      <c r="Q66" s="5"/>
      <c r="R66" s="5"/>
      <c r="S66" s="5"/>
    </row>
    <row r="67" spans="7:19" hidden="1">
      <c r="G67" s="7"/>
      <c r="H67" s="7"/>
      <c r="I67" s="7"/>
      <c r="J67" s="6"/>
      <c r="K67" s="6"/>
      <c r="L67" s="6"/>
      <c r="M67" s="6"/>
      <c r="N67" s="5"/>
      <c r="O67" s="5"/>
      <c r="P67" s="5"/>
      <c r="Q67" s="5"/>
      <c r="R67" s="5"/>
      <c r="S67" s="5"/>
    </row>
    <row r="68" spans="7:19">
      <c r="G68" s="7"/>
      <c r="H68" s="7"/>
      <c r="I68" s="7"/>
      <c r="J68" s="6"/>
      <c r="K68" s="6"/>
      <c r="L68" s="6"/>
      <c r="M68" s="6"/>
      <c r="N68" s="5"/>
      <c r="O68" s="5"/>
      <c r="P68" s="5"/>
      <c r="Q68" s="5"/>
      <c r="R68" s="5"/>
      <c r="S68" s="5"/>
    </row>
    <row r="69" spans="7:19">
      <c r="G69" s="7"/>
      <c r="H69" s="7"/>
      <c r="I69" s="7"/>
      <c r="J69" s="6"/>
      <c r="K69" s="6"/>
      <c r="L69" s="6"/>
      <c r="M69" s="6"/>
      <c r="N69" s="5"/>
      <c r="O69" s="5"/>
      <c r="P69" s="5"/>
      <c r="Q69" s="5"/>
      <c r="R69" s="5"/>
      <c r="S69" s="5"/>
    </row>
    <row r="70" spans="7:19">
      <c r="G70" s="7"/>
      <c r="H70" s="7"/>
      <c r="I70" s="7"/>
      <c r="J70" s="6"/>
      <c r="K70" s="6"/>
      <c r="L70" s="6"/>
      <c r="M70" s="6"/>
      <c r="N70" s="5"/>
      <c r="O70" s="5"/>
      <c r="P70" s="5"/>
      <c r="Q70" s="5"/>
      <c r="R70" s="5"/>
      <c r="S70" s="5"/>
    </row>
    <row r="71" spans="7:19">
      <c r="G71" s="7"/>
      <c r="H71" s="7"/>
      <c r="I71" s="7"/>
      <c r="J71" s="6"/>
      <c r="K71" s="6"/>
      <c r="L71" s="6"/>
      <c r="M71" s="6"/>
      <c r="N71" s="5"/>
      <c r="O71" s="5"/>
      <c r="P71" s="5"/>
      <c r="Q71" s="5"/>
      <c r="R71" s="5"/>
      <c r="S71" s="5"/>
    </row>
  </sheetData>
  <sheetProtection sheet="1" objects="1" scenarios="1"/>
  <mergeCells count="1">
    <mergeCell ref="AD5:AI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08C057-1B2A-49EB-B8D1-1A181A3A53D7}">
  <sheetPr codeName="Feuil4"/>
  <dimension ref="D5:AG48"/>
  <sheetViews>
    <sheetView workbookViewId="0">
      <selection activeCell="L25" sqref="A25:XFD48"/>
    </sheetView>
  </sheetViews>
  <sheetFormatPr baseColWidth="10" defaultRowHeight="15"/>
  <cols>
    <col min="1" max="3" width="11" style="5"/>
    <col min="4" max="4" width="11.25" style="5" customWidth="1"/>
    <col min="5" max="5" width="14.875" style="5" customWidth="1"/>
    <col min="6" max="6" width="15.875" style="5" customWidth="1"/>
    <col min="7" max="7" width="17.75" style="5" customWidth="1"/>
    <col min="8" max="8" width="18" style="5" customWidth="1"/>
    <col min="9" max="9" width="20.5" style="5" customWidth="1"/>
    <col min="10" max="10" width="19" style="5" customWidth="1"/>
    <col min="11" max="11" width="18.5" style="5" customWidth="1"/>
    <col min="12" max="12" width="14.75" style="5" customWidth="1"/>
    <col min="13" max="13" width="24.5" style="5" customWidth="1"/>
    <col min="14" max="14" width="33.875" style="5" customWidth="1"/>
    <col min="15" max="15" width="11" style="5"/>
    <col min="16" max="16" width="28.75" style="5" customWidth="1"/>
    <col min="17" max="17" width="25.125" style="5" customWidth="1"/>
    <col min="18" max="18" width="23.875" style="5" customWidth="1"/>
    <col min="19" max="19" width="12.75" style="5" customWidth="1"/>
    <col min="20" max="24" width="11" style="5"/>
    <col min="25" max="25" width="11.375" style="5" customWidth="1"/>
    <col min="26" max="26" width="17.5" style="5" customWidth="1"/>
    <col min="27" max="27" width="13.25" style="5" customWidth="1"/>
    <col min="28" max="28" width="17.625" style="5" customWidth="1"/>
    <col min="29" max="16384" width="11" style="5"/>
  </cols>
  <sheetData>
    <row r="5" spans="4:33">
      <c r="T5" s="132" t="s">
        <v>603</v>
      </c>
      <c r="U5" s="133"/>
      <c r="V5" s="133"/>
      <c r="W5" s="133"/>
      <c r="X5" s="133"/>
      <c r="Y5" s="133"/>
      <c r="AA5" s="132" t="s">
        <v>587</v>
      </c>
      <c r="AB5" s="133"/>
      <c r="AC5" s="133"/>
      <c r="AD5" s="133"/>
      <c r="AE5" s="133"/>
      <c r="AF5" s="83"/>
      <c r="AG5" s="83"/>
    </row>
    <row r="6" spans="4:33" ht="45">
      <c r="D6" s="109" t="s">
        <v>229</v>
      </c>
      <c r="E6" s="109" t="s">
        <v>228</v>
      </c>
      <c r="F6" s="109" t="s">
        <v>227</v>
      </c>
      <c r="G6" s="109" t="s">
        <v>226</v>
      </c>
      <c r="H6" s="109" t="s">
        <v>225</v>
      </c>
      <c r="I6" s="109" t="s">
        <v>268</v>
      </c>
      <c r="J6" s="109" t="s">
        <v>224</v>
      </c>
      <c r="K6" s="109" t="s">
        <v>223</v>
      </c>
      <c r="L6" s="109" t="s">
        <v>222</v>
      </c>
      <c r="M6" s="109" t="s">
        <v>610</v>
      </c>
      <c r="N6" s="109" t="s">
        <v>609</v>
      </c>
      <c r="O6" s="109" t="s">
        <v>608</v>
      </c>
      <c r="P6" s="109" t="s">
        <v>607</v>
      </c>
      <c r="Q6" s="109" t="s">
        <v>606</v>
      </c>
      <c r="R6" s="109" t="s">
        <v>605</v>
      </c>
      <c r="T6" s="12" t="s">
        <v>716</v>
      </c>
      <c r="U6" s="12" t="s">
        <v>717</v>
      </c>
      <c r="V6" s="12" t="s">
        <v>601</v>
      </c>
      <c r="W6" s="12" t="s">
        <v>600</v>
      </c>
      <c r="X6" s="12" t="s">
        <v>599</v>
      </c>
      <c r="Y6" s="12" t="s">
        <v>598</v>
      </c>
      <c r="AA6" s="12" t="s">
        <v>278</v>
      </c>
      <c r="AB6" s="12" t="s">
        <v>301</v>
      </c>
      <c r="AC6" s="35" t="s">
        <v>213</v>
      </c>
      <c r="AD6" s="35" t="s">
        <v>212</v>
      </c>
      <c r="AE6" s="12" t="s">
        <v>586</v>
      </c>
      <c r="AF6" s="12" t="s">
        <v>284</v>
      </c>
      <c r="AG6" s="12" t="s">
        <v>283</v>
      </c>
    </row>
    <row r="7" spans="4:33" ht="30">
      <c r="D7" s="20">
        <v>28</v>
      </c>
      <c r="E7" s="21" t="s">
        <v>192</v>
      </c>
      <c r="F7" s="20">
        <v>14</v>
      </c>
      <c r="G7" s="21" t="s">
        <v>181</v>
      </c>
      <c r="H7" s="20">
        <v>1</v>
      </c>
      <c r="I7" s="21" t="s">
        <v>211</v>
      </c>
      <c r="J7" s="29">
        <v>123</v>
      </c>
      <c r="K7" s="29">
        <v>73516</v>
      </c>
      <c r="L7" s="29">
        <v>74932</v>
      </c>
      <c r="M7" s="5">
        <v>0.4</v>
      </c>
      <c r="N7" s="5">
        <f t="shared" ref="N7:N23" si="0">L7*M7</f>
        <v>29972.800000000003</v>
      </c>
      <c r="O7" s="5">
        <f t="shared" ref="O7:O23" si="1">N7/$N$25</f>
        <v>1.4155504446642321E-2</v>
      </c>
      <c r="P7" s="7">
        <f>$O$26*O7</f>
        <v>3.9102457708182419</v>
      </c>
      <c r="Q7" s="7">
        <f t="shared" ref="Q7:Q23" si="2">P7</f>
        <v>3.9102457708182419</v>
      </c>
      <c r="R7" s="6">
        <f t="shared" ref="R7:R23" si="3">Q7*1000*3</f>
        <v>11730.737312454727</v>
      </c>
      <c r="T7" s="12" t="s">
        <v>597</v>
      </c>
      <c r="U7" s="11">
        <v>5.8864912941402711E-2</v>
      </c>
      <c r="V7" s="10">
        <v>5.8864912941402707</v>
      </c>
      <c r="W7" s="10">
        <v>29.726781035408369</v>
      </c>
      <c r="X7" s="10">
        <v>26.754102931867532</v>
      </c>
      <c r="Y7" s="10">
        <v>9.685269039718909</v>
      </c>
      <c r="AA7" s="11" t="s">
        <v>181</v>
      </c>
      <c r="AB7" s="10">
        <f>SUM(P$7:P$10)*1000</f>
        <v>57034.328087942384</v>
      </c>
      <c r="AC7" s="10">
        <f>AB7*0.05</f>
        <v>2851.7164043971193</v>
      </c>
      <c r="AD7" s="10">
        <f>AB7*0.1</f>
        <v>5703.4328087942386</v>
      </c>
      <c r="AE7" s="10">
        <f>AB7/$AB$12*100</f>
        <v>20.647031725864711</v>
      </c>
      <c r="AF7" s="10">
        <f t="shared" ref="AF7:AG11" si="4">$AB7*AL$34</f>
        <v>0</v>
      </c>
      <c r="AG7" s="10">
        <f t="shared" si="4"/>
        <v>0</v>
      </c>
    </row>
    <row r="8" spans="4:33">
      <c r="D8" s="20">
        <v>28</v>
      </c>
      <c r="E8" s="21" t="s">
        <v>192</v>
      </c>
      <c r="F8" s="20">
        <v>14</v>
      </c>
      <c r="G8" s="21" t="s">
        <v>181</v>
      </c>
      <c r="H8" s="20">
        <v>2</v>
      </c>
      <c r="I8" s="21" t="s">
        <v>210</v>
      </c>
      <c r="J8" s="29">
        <v>201</v>
      </c>
      <c r="K8" s="29">
        <v>393027</v>
      </c>
      <c r="L8" s="29">
        <v>399850</v>
      </c>
      <c r="M8" s="5">
        <v>0.8</v>
      </c>
      <c r="N8" s="5">
        <f t="shared" si="0"/>
        <v>319880</v>
      </c>
      <c r="O8" s="5">
        <f t="shared" si="1"/>
        <v>0.15107239772033129</v>
      </c>
      <c r="P8" s="7">
        <f t="shared" ref="P8:P23" si="5">$O$26*O8</f>
        <v>41.731483784275717</v>
      </c>
      <c r="Q8" s="7">
        <f t="shared" si="2"/>
        <v>41.731483784275717</v>
      </c>
      <c r="R8" s="6">
        <f t="shared" si="3"/>
        <v>125194.45135282716</v>
      </c>
      <c r="T8" s="12" t="s">
        <v>596</v>
      </c>
      <c r="U8" s="11">
        <v>8.9922356391375066E-2</v>
      </c>
      <c r="V8" s="10">
        <v>8.9922356391375065</v>
      </c>
      <c r="W8" s="10">
        <v>45.410789977644406</v>
      </c>
      <c r="X8" s="10">
        <v>40.869710979879969</v>
      </c>
      <c r="Y8" s="10">
        <v>14.795268876094617</v>
      </c>
      <c r="AA8" s="11" t="s">
        <v>205</v>
      </c>
      <c r="AB8" s="10">
        <f>SUM(P$11:P$13)*1000</f>
        <v>39970.667738769997</v>
      </c>
      <c r="AC8" s="10">
        <f>AB8*0.05</f>
        <v>1998.5333869384999</v>
      </c>
      <c r="AD8" s="10">
        <f>AB8*0.1</f>
        <v>3997.0667738769998</v>
      </c>
      <c r="AE8" s="10">
        <f>AB8/$AB$12*100</f>
        <v>14.46980568674136</v>
      </c>
      <c r="AF8" s="10">
        <f t="shared" si="4"/>
        <v>0</v>
      </c>
      <c r="AG8" s="10">
        <f t="shared" si="4"/>
        <v>0</v>
      </c>
    </row>
    <row r="9" spans="4:33">
      <c r="D9" s="20">
        <v>28</v>
      </c>
      <c r="E9" s="21" t="s">
        <v>192</v>
      </c>
      <c r="F9" s="20">
        <v>14</v>
      </c>
      <c r="G9" s="21" t="s">
        <v>181</v>
      </c>
      <c r="H9" s="20">
        <v>3</v>
      </c>
      <c r="I9" s="21" t="s">
        <v>209</v>
      </c>
      <c r="J9" s="29">
        <v>160</v>
      </c>
      <c r="K9" s="29">
        <v>159810</v>
      </c>
      <c r="L9" s="29">
        <v>163468</v>
      </c>
      <c r="M9" s="5">
        <v>0.4</v>
      </c>
      <c r="N9" s="5">
        <f t="shared" si="0"/>
        <v>65387.200000000004</v>
      </c>
      <c r="O9" s="5">
        <f t="shared" si="1"/>
        <v>3.0880958747714286E-2</v>
      </c>
      <c r="P9" s="7">
        <f t="shared" si="5"/>
        <v>8.5304016396748565</v>
      </c>
      <c r="Q9" s="7">
        <f t="shared" si="2"/>
        <v>8.5304016396748565</v>
      </c>
      <c r="R9" s="6">
        <f t="shared" si="3"/>
        <v>25591.204919024567</v>
      </c>
      <c r="T9" s="12" t="s">
        <v>594</v>
      </c>
      <c r="U9" s="11">
        <v>7.0672510636933996E-3</v>
      </c>
      <c r="V9" s="10">
        <v>0.70672510636933994</v>
      </c>
      <c r="W9" s="10">
        <v>3.5689617871651667</v>
      </c>
      <c r="X9" s="10">
        <v>3.2120656084486501</v>
      </c>
      <c r="Y9" s="10">
        <v>1.1628018203517476</v>
      </c>
      <c r="AA9" s="11" t="s">
        <v>200</v>
      </c>
      <c r="AB9" s="10">
        <f>SUM(P$14:P$17)*1000</f>
        <v>36597.277129014255</v>
      </c>
      <c r="AC9" s="10">
        <f>AB9*0.05</f>
        <v>1829.8638564507128</v>
      </c>
      <c r="AD9" s="10">
        <f>AB9*0.1</f>
        <v>3659.7277129014255</v>
      </c>
      <c r="AE9" s="10">
        <f>AB9/$AB$12*100</f>
        <v>13.248602504756549</v>
      </c>
      <c r="AF9" s="10">
        <f t="shared" si="4"/>
        <v>0</v>
      </c>
      <c r="AG9" s="10">
        <f t="shared" si="4"/>
        <v>0</v>
      </c>
    </row>
    <row r="10" spans="4:33">
      <c r="D10" s="20">
        <v>28</v>
      </c>
      <c r="E10" s="21" t="s">
        <v>192</v>
      </c>
      <c r="F10" s="20">
        <v>14</v>
      </c>
      <c r="G10" s="21" t="s">
        <v>181</v>
      </c>
      <c r="H10" s="20">
        <v>4</v>
      </c>
      <c r="I10" s="21" t="s">
        <v>208</v>
      </c>
      <c r="J10" s="29">
        <v>44</v>
      </c>
      <c r="K10" s="29">
        <v>71194</v>
      </c>
      <c r="L10" s="29">
        <v>73131</v>
      </c>
      <c r="M10" s="5">
        <v>0.30000000000000004</v>
      </c>
      <c r="N10" s="5">
        <f t="shared" si="0"/>
        <v>21939.300000000003</v>
      </c>
      <c r="O10" s="5">
        <f t="shared" si="1"/>
        <v>1.0361456343959186E-2</v>
      </c>
      <c r="P10" s="7">
        <f t="shared" si="5"/>
        <v>2.8621968931735657</v>
      </c>
      <c r="Q10" s="7">
        <f t="shared" si="2"/>
        <v>2.8621968931735657</v>
      </c>
      <c r="R10" s="6">
        <f t="shared" si="3"/>
        <v>8586.5906795206974</v>
      </c>
      <c r="T10" s="12" t="s">
        <v>593</v>
      </c>
      <c r="U10" s="11">
        <v>8.4145479603528819E-2</v>
      </c>
      <c r="V10" s="10">
        <v>8.4145479603528823</v>
      </c>
      <c r="W10" s="10">
        <v>42.493467199782053</v>
      </c>
      <c r="X10" s="10">
        <v>38.244120479803847</v>
      </c>
      <c r="Y10" s="10">
        <v>13.844777265662875</v>
      </c>
      <c r="AA10" s="11" t="s">
        <v>272</v>
      </c>
      <c r="AB10" s="10">
        <f>SUM(P$18:P$20)*1000</f>
        <v>13488.291862729086</v>
      </c>
      <c r="AC10" s="10">
        <f>AB10*0.05</f>
        <v>674.4145931364543</v>
      </c>
      <c r="AD10" s="10">
        <f>AB10*0.1</f>
        <v>1348.8291862729086</v>
      </c>
      <c r="AE10" s="10">
        <f>AB10/$AB$12*100</f>
        <v>4.882904723416325</v>
      </c>
      <c r="AF10" s="10">
        <f t="shared" si="4"/>
        <v>0</v>
      </c>
      <c r="AG10" s="10">
        <f t="shared" si="4"/>
        <v>0</v>
      </c>
    </row>
    <row r="11" spans="4:33">
      <c r="D11" s="20">
        <v>28</v>
      </c>
      <c r="E11" s="21" t="s">
        <v>192</v>
      </c>
      <c r="F11" s="20">
        <v>27</v>
      </c>
      <c r="G11" s="21" t="s">
        <v>205</v>
      </c>
      <c r="H11" s="20">
        <v>1</v>
      </c>
      <c r="I11" s="21" t="s">
        <v>207</v>
      </c>
      <c r="J11" s="29">
        <v>185</v>
      </c>
      <c r="K11" s="29">
        <v>235416</v>
      </c>
      <c r="L11" s="29">
        <v>240268</v>
      </c>
      <c r="M11" s="5">
        <v>0.5</v>
      </c>
      <c r="N11" s="5">
        <f t="shared" si="0"/>
        <v>120134</v>
      </c>
      <c r="O11" s="5">
        <f t="shared" si="1"/>
        <v>5.67366869692831E-2</v>
      </c>
      <c r="P11" s="7">
        <f t="shared" si="5"/>
        <v>15.672658724959918</v>
      </c>
      <c r="Q11" s="7">
        <f t="shared" si="2"/>
        <v>15.672658724959918</v>
      </c>
      <c r="R11" s="6">
        <f t="shared" si="3"/>
        <v>47017.976174879754</v>
      </c>
      <c r="T11" s="12" t="s">
        <v>591</v>
      </c>
      <c r="U11" s="11">
        <v>0.11</v>
      </c>
      <c r="V11" s="10">
        <v>11</v>
      </c>
      <c r="W11" s="10">
        <v>55.55</v>
      </c>
      <c r="X11" s="10">
        <v>55.55</v>
      </c>
      <c r="Y11" s="10">
        <v>20.109689213893965</v>
      </c>
      <c r="AA11" s="11" t="s">
        <v>271</v>
      </c>
      <c r="AB11" s="10">
        <f>SUM(P$21:P$23)*1000</f>
        <v>129144.43518154425</v>
      </c>
      <c r="AC11" s="10">
        <f>AB11*0.05</f>
        <v>6457.2217590772125</v>
      </c>
      <c r="AD11" s="10">
        <f>AB11*0.1</f>
        <v>12914.443518154425</v>
      </c>
      <c r="AE11" s="10">
        <f>AB11/$AB$12*100</f>
        <v>46.751655359221047</v>
      </c>
      <c r="AF11" s="10">
        <f t="shared" si="4"/>
        <v>0</v>
      </c>
      <c r="AG11" s="10">
        <f t="shared" si="4"/>
        <v>0</v>
      </c>
    </row>
    <row r="12" spans="4:33">
      <c r="D12" s="20">
        <v>28</v>
      </c>
      <c r="E12" s="21" t="s">
        <v>192</v>
      </c>
      <c r="F12" s="20">
        <v>27</v>
      </c>
      <c r="G12" s="21" t="s">
        <v>205</v>
      </c>
      <c r="H12" s="20">
        <v>2</v>
      </c>
      <c r="I12" s="21" t="s">
        <v>206</v>
      </c>
      <c r="J12" s="29">
        <v>297</v>
      </c>
      <c r="K12" s="29">
        <v>225807</v>
      </c>
      <c r="L12" s="29">
        <v>230922</v>
      </c>
      <c r="M12" s="5">
        <v>0.5</v>
      </c>
      <c r="N12" s="5">
        <f t="shared" si="0"/>
        <v>115461</v>
      </c>
      <c r="O12" s="5">
        <f t="shared" si="1"/>
        <v>5.4529730252554615E-2</v>
      </c>
      <c r="P12" s="7">
        <f t="shared" si="5"/>
        <v>15.063020036314425</v>
      </c>
      <c r="Q12" s="7">
        <f t="shared" si="2"/>
        <v>15.063020036314425</v>
      </c>
      <c r="R12" s="6">
        <f t="shared" si="3"/>
        <v>45189.060108943275</v>
      </c>
      <c r="T12" s="12" t="s">
        <v>590</v>
      </c>
      <c r="U12" s="11">
        <v>0.23</v>
      </c>
      <c r="V12" s="10">
        <v>23</v>
      </c>
      <c r="W12" s="10">
        <v>116.15</v>
      </c>
      <c r="X12" s="10">
        <v>104.53500000000001</v>
      </c>
      <c r="Y12" s="10">
        <v>37.842778793418645</v>
      </c>
      <c r="AA12" s="9" t="s">
        <v>230</v>
      </c>
      <c r="AB12" s="8">
        <f t="shared" ref="AB12:AG12" si="6">SUM(AB7:AB11)</f>
        <v>276235</v>
      </c>
      <c r="AC12" s="8">
        <f t="shared" si="6"/>
        <v>13811.75</v>
      </c>
      <c r="AD12" s="8">
        <f t="shared" si="6"/>
        <v>27623.5</v>
      </c>
      <c r="AE12" s="8">
        <f t="shared" si="6"/>
        <v>100</v>
      </c>
      <c r="AF12" s="8">
        <f t="shared" si="6"/>
        <v>0</v>
      </c>
      <c r="AG12" s="8">
        <f t="shared" si="6"/>
        <v>0</v>
      </c>
    </row>
    <row r="13" spans="4:33">
      <c r="D13" s="20">
        <v>28</v>
      </c>
      <c r="E13" s="21" t="s">
        <v>192</v>
      </c>
      <c r="F13" s="20">
        <v>27</v>
      </c>
      <c r="G13" s="21" t="s">
        <v>205</v>
      </c>
      <c r="H13" s="20">
        <v>3</v>
      </c>
      <c r="I13" s="21" t="s">
        <v>204</v>
      </c>
      <c r="J13" s="29">
        <v>103</v>
      </c>
      <c r="K13" s="29">
        <v>138445</v>
      </c>
      <c r="L13" s="29">
        <v>141576</v>
      </c>
      <c r="M13" s="5">
        <v>0.5</v>
      </c>
      <c r="N13" s="5">
        <f t="shared" si="0"/>
        <v>70788</v>
      </c>
      <c r="O13" s="5">
        <f t="shared" si="1"/>
        <v>3.3431639645575877E-2</v>
      </c>
      <c r="P13" s="7">
        <f t="shared" si="5"/>
        <v>9.234988977495652</v>
      </c>
      <c r="Q13" s="7">
        <f t="shared" si="2"/>
        <v>9.234988977495652</v>
      </c>
      <c r="R13" s="6">
        <f t="shared" si="3"/>
        <v>27704.966932486954</v>
      </c>
      <c r="T13" s="12" t="s">
        <v>589</v>
      </c>
      <c r="U13" s="11">
        <v>0.28000000000000003</v>
      </c>
      <c r="V13" s="10">
        <v>28.000000000000004</v>
      </c>
      <c r="W13" s="10">
        <v>141.4</v>
      </c>
      <c r="X13" s="10">
        <v>0</v>
      </c>
      <c r="Y13" s="10">
        <v>0</v>
      </c>
    </row>
    <row r="14" spans="4:33" ht="30">
      <c r="D14" s="20">
        <v>28</v>
      </c>
      <c r="E14" s="21" t="s">
        <v>192</v>
      </c>
      <c r="F14" s="20">
        <v>50</v>
      </c>
      <c r="G14" s="21" t="s">
        <v>200</v>
      </c>
      <c r="H14" s="20">
        <v>1</v>
      </c>
      <c r="I14" s="21" t="s">
        <v>203</v>
      </c>
      <c r="J14" s="29">
        <v>134</v>
      </c>
      <c r="K14" s="29">
        <v>134398</v>
      </c>
      <c r="L14" s="29">
        <v>138960</v>
      </c>
      <c r="M14" s="5">
        <v>0.5</v>
      </c>
      <c r="N14" s="5">
        <f t="shared" si="0"/>
        <v>69480</v>
      </c>
      <c r="O14" s="5">
        <f t="shared" si="1"/>
        <v>3.281389956736469E-2</v>
      </c>
      <c r="P14" s="7">
        <f t="shared" si="5"/>
        <v>9.0643475469909855</v>
      </c>
      <c r="Q14" s="7">
        <f t="shared" si="2"/>
        <v>9.0643475469909855</v>
      </c>
      <c r="R14" s="6">
        <f t="shared" si="3"/>
        <v>27193.042640972959</v>
      </c>
      <c r="T14" s="12" t="s">
        <v>588</v>
      </c>
      <c r="U14" s="11">
        <v>0.14000000000000001</v>
      </c>
      <c r="V14" s="10">
        <v>14.000000000000002</v>
      </c>
      <c r="W14" s="10">
        <v>70.7</v>
      </c>
      <c r="X14" s="10">
        <v>7.07</v>
      </c>
      <c r="Y14" s="10">
        <v>2.5594149908592323</v>
      </c>
    </row>
    <row r="15" spans="4:33">
      <c r="D15" s="20">
        <v>28</v>
      </c>
      <c r="E15" s="21" t="s">
        <v>192</v>
      </c>
      <c r="F15" s="20">
        <v>50</v>
      </c>
      <c r="G15" s="21" t="s">
        <v>200</v>
      </c>
      <c r="H15" s="20">
        <v>2</v>
      </c>
      <c r="I15" s="21" t="s">
        <v>202</v>
      </c>
      <c r="J15" s="29">
        <v>144</v>
      </c>
      <c r="K15" s="29">
        <v>186773</v>
      </c>
      <c r="L15" s="29">
        <v>191708</v>
      </c>
      <c r="M15" s="5">
        <v>0.5</v>
      </c>
      <c r="N15" s="5">
        <f t="shared" si="0"/>
        <v>95854</v>
      </c>
      <c r="O15" s="5">
        <f t="shared" si="1"/>
        <v>4.5269768697901197E-2</v>
      </c>
      <c r="P15" s="7">
        <f t="shared" si="5"/>
        <v>12.505094556264737</v>
      </c>
      <c r="Q15" s="7">
        <f t="shared" si="2"/>
        <v>12.505094556264737</v>
      </c>
      <c r="R15" s="6">
        <f t="shared" si="3"/>
        <v>37515.283668794211</v>
      </c>
      <c r="T15" s="12" t="s">
        <v>230</v>
      </c>
      <c r="U15" s="11">
        <v>1</v>
      </c>
      <c r="V15" s="10"/>
      <c r="W15" s="10">
        <v>504.99999999999994</v>
      </c>
      <c r="X15" s="10">
        <v>276.23500000000001</v>
      </c>
      <c r="Y15" s="10"/>
    </row>
    <row r="16" spans="4:33">
      <c r="D16" s="20">
        <v>28</v>
      </c>
      <c r="E16" s="21" t="s">
        <v>192</v>
      </c>
      <c r="F16" s="20">
        <v>50</v>
      </c>
      <c r="G16" s="21" t="s">
        <v>200</v>
      </c>
      <c r="H16" s="20">
        <v>3</v>
      </c>
      <c r="I16" s="21" t="s">
        <v>201</v>
      </c>
      <c r="J16" s="29">
        <v>81</v>
      </c>
      <c r="K16" s="29">
        <v>70274</v>
      </c>
      <c r="L16" s="29">
        <v>72885</v>
      </c>
      <c r="M16" s="5">
        <v>0.70000000000000007</v>
      </c>
      <c r="N16" s="5">
        <f t="shared" si="0"/>
        <v>51019.500000000007</v>
      </c>
      <c r="O16" s="5">
        <f t="shared" si="1"/>
        <v>2.4095405137840576E-2</v>
      </c>
      <c r="P16" s="7">
        <f t="shared" si="5"/>
        <v>6.6559942382513917</v>
      </c>
      <c r="Q16" s="7">
        <f t="shared" si="2"/>
        <v>6.6559942382513917</v>
      </c>
      <c r="R16" s="6">
        <f t="shared" si="3"/>
        <v>19967.982714754176</v>
      </c>
    </row>
    <row r="17" spans="4:18">
      <c r="D17" s="20">
        <v>28</v>
      </c>
      <c r="E17" s="21" t="s">
        <v>192</v>
      </c>
      <c r="F17" s="20">
        <v>50</v>
      </c>
      <c r="G17" s="21" t="s">
        <v>200</v>
      </c>
      <c r="H17" s="20">
        <v>4</v>
      </c>
      <c r="I17" s="21" t="s">
        <v>199</v>
      </c>
      <c r="J17" s="29">
        <v>87</v>
      </c>
      <c r="K17" s="29">
        <v>103648</v>
      </c>
      <c r="L17" s="29">
        <v>106953</v>
      </c>
      <c r="M17" s="5">
        <v>0.60000000000000009</v>
      </c>
      <c r="N17" s="5">
        <f t="shared" si="0"/>
        <v>64171.80000000001</v>
      </c>
      <c r="O17" s="5">
        <f t="shared" si="1"/>
        <v>3.0306951644459037E-2</v>
      </c>
      <c r="P17" s="7">
        <f t="shared" si="5"/>
        <v>8.3718407875071428</v>
      </c>
      <c r="Q17" s="7">
        <f t="shared" si="2"/>
        <v>8.3718407875071428</v>
      </c>
      <c r="R17" s="6">
        <f t="shared" si="3"/>
        <v>25115.522362521428</v>
      </c>
    </row>
    <row r="18" spans="4:18">
      <c r="D18" s="20">
        <v>28</v>
      </c>
      <c r="E18" s="21" t="s">
        <v>192</v>
      </c>
      <c r="F18" s="20">
        <v>61</v>
      </c>
      <c r="G18" s="21" t="s">
        <v>196</v>
      </c>
      <c r="H18" s="20">
        <v>1</v>
      </c>
      <c r="I18" s="21" t="s">
        <v>198</v>
      </c>
      <c r="J18" s="29">
        <v>111</v>
      </c>
      <c r="K18" s="29">
        <v>85380</v>
      </c>
      <c r="L18" s="29">
        <v>87795</v>
      </c>
      <c r="M18" s="5">
        <v>0.4</v>
      </c>
      <c r="N18" s="5">
        <f t="shared" si="0"/>
        <v>35118</v>
      </c>
      <c r="O18" s="5">
        <f t="shared" si="1"/>
        <v>1.6585470998945209E-2</v>
      </c>
      <c r="P18" s="7">
        <f t="shared" si="5"/>
        <v>4.5814875813936302</v>
      </c>
      <c r="Q18" s="7">
        <f t="shared" si="2"/>
        <v>4.5814875813936302</v>
      </c>
      <c r="R18" s="6">
        <f t="shared" si="3"/>
        <v>13744.462744180892</v>
      </c>
    </row>
    <row r="19" spans="4:18">
      <c r="D19" s="20">
        <v>28</v>
      </c>
      <c r="E19" s="21" t="s">
        <v>192</v>
      </c>
      <c r="F19" s="20">
        <v>61</v>
      </c>
      <c r="G19" s="21" t="s">
        <v>196</v>
      </c>
      <c r="H19" s="20">
        <v>2</v>
      </c>
      <c r="I19" s="21" t="s">
        <v>197</v>
      </c>
      <c r="J19" s="29">
        <v>123</v>
      </c>
      <c r="K19" s="29">
        <v>108122</v>
      </c>
      <c r="L19" s="29">
        <v>111212</v>
      </c>
      <c r="M19" s="5">
        <v>0.30000000000000004</v>
      </c>
      <c r="N19" s="5">
        <f t="shared" si="0"/>
        <v>33363.600000000006</v>
      </c>
      <c r="O19" s="5">
        <f t="shared" si="1"/>
        <v>1.5756905866518837E-2</v>
      </c>
      <c r="P19" s="7">
        <f t="shared" si="5"/>
        <v>4.3526088920378312</v>
      </c>
      <c r="Q19" s="7">
        <f t="shared" si="2"/>
        <v>4.3526088920378312</v>
      </c>
      <c r="R19" s="6">
        <f t="shared" si="3"/>
        <v>13057.826676113495</v>
      </c>
    </row>
    <row r="20" spans="4:18">
      <c r="D20" s="20">
        <v>28</v>
      </c>
      <c r="E20" s="21" t="s">
        <v>192</v>
      </c>
      <c r="F20" s="20">
        <v>61</v>
      </c>
      <c r="G20" s="21" t="s">
        <v>196</v>
      </c>
      <c r="H20" s="20">
        <v>3</v>
      </c>
      <c r="I20" s="21" t="s">
        <v>195</v>
      </c>
      <c r="J20" s="29">
        <v>151</v>
      </c>
      <c r="K20" s="29">
        <v>84973</v>
      </c>
      <c r="L20" s="29">
        <v>87272</v>
      </c>
      <c r="M20" s="5">
        <v>0.4</v>
      </c>
      <c r="N20" s="5">
        <f t="shared" si="0"/>
        <v>34908.800000000003</v>
      </c>
      <c r="O20" s="5">
        <f t="shared" si="1"/>
        <v>1.6486670368699202E-2</v>
      </c>
      <c r="P20" s="7">
        <f t="shared" si="5"/>
        <v>4.5541953892976244</v>
      </c>
      <c r="Q20" s="7">
        <f t="shared" si="2"/>
        <v>4.5541953892976244</v>
      </c>
      <c r="R20" s="6">
        <f t="shared" si="3"/>
        <v>13662.586167892874</v>
      </c>
    </row>
    <row r="21" spans="4:18">
      <c r="D21" s="20">
        <v>28</v>
      </c>
      <c r="E21" s="21" t="s">
        <v>192</v>
      </c>
      <c r="F21" s="20">
        <v>76</v>
      </c>
      <c r="G21" s="21" t="s">
        <v>191</v>
      </c>
      <c r="H21" s="20">
        <v>1</v>
      </c>
      <c r="I21" s="21" t="s">
        <v>194</v>
      </c>
      <c r="J21" s="29">
        <v>343</v>
      </c>
      <c r="K21" s="29">
        <v>232723</v>
      </c>
      <c r="L21" s="29">
        <v>238071</v>
      </c>
      <c r="M21" s="5">
        <v>0.4</v>
      </c>
      <c r="N21" s="5">
        <f t="shared" si="0"/>
        <v>95228.400000000009</v>
      </c>
      <c r="O21" s="5">
        <f t="shared" si="1"/>
        <v>4.497431136385769E-2</v>
      </c>
      <c r="P21" s="7">
        <f t="shared" si="5"/>
        <v>12.42347889959523</v>
      </c>
      <c r="Q21" s="7">
        <f t="shared" si="2"/>
        <v>12.42347889959523</v>
      </c>
      <c r="R21" s="6">
        <f t="shared" si="3"/>
        <v>37270.436698785692</v>
      </c>
    </row>
    <row r="22" spans="4:18">
      <c r="D22" s="20">
        <v>28</v>
      </c>
      <c r="E22" s="21" t="s">
        <v>192</v>
      </c>
      <c r="F22" s="20">
        <v>76</v>
      </c>
      <c r="G22" s="21" t="s">
        <v>191</v>
      </c>
      <c r="H22" s="20">
        <v>2</v>
      </c>
      <c r="I22" s="21" t="s">
        <v>193</v>
      </c>
      <c r="J22" s="29">
        <v>149</v>
      </c>
      <c r="K22" s="29">
        <v>383415</v>
      </c>
      <c r="L22" s="29">
        <v>388909</v>
      </c>
      <c r="M22" s="5">
        <v>0.8</v>
      </c>
      <c r="N22" s="5">
        <f t="shared" si="0"/>
        <v>311127.2</v>
      </c>
      <c r="O22" s="5">
        <f t="shared" si="1"/>
        <v>0.14693863980246671</v>
      </c>
      <c r="P22" s="7">
        <f t="shared" si="5"/>
        <v>40.589595165834396</v>
      </c>
      <c r="Q22" s="7">
        <f t="shared" si="2"/>
        <v>40.589595165834396</v>
      </c>
      <c r="R22" s="6">
        <f t="shared" si="3"/>
        <v>121768.7854975032</v>
      </c>
    </row>
    <row r="23" spans="4:18">
      <c r="D23" s="20">
        <v>28</v>
      </c>
      <c r="E23" s="21" t="s">
        <v>192</v>
      </c>
      <c r="F23" s="20">
        <v>76</v>
      </c>
      <c r="G23" s="21" t="s">
        <v>191</v>
      </c>
      <c r="H23" s="20">
        <v>3</v>
      </c>
      <c r="I23" s="21" t="s">
        <v>190</v>
      </c>
      <c r="J23" s="29">
        <v>216</v>
      </c>
      <c r="K23" s="29">
        <v>638601</v>
      </c>
      <c r="L23" s="29">
        <v>648402</v>
      </c>
      <c r="M23" s="5">
        <v>0.9</v>
      </c>
      <c r="N23" s="5">
        <f t="shared" si="0"/>
        <v>583561.80000000005</v>
      </c>
      <c r="O23" s="5">
        <f t="shared" si="1"/>
        <v>0.27560360242588605</v>
      </c>
      <c r="P23" s="7">
        <f t="shared" si="5"/>
        <v>76.131361116114633</v>
      </c>
      <c r="Q23" s="7">
        <f t="shared" si="2"/>
        <v>76.131361116114633</v>
      </c>
      <c r="R23" s="6">
        <f t="shared" si="3"/>
        <v>228394.08334834388</v>
      </c>
    </row>
    <row r="25" spans="4:18" hidden="1">
      <c r="N25" s="5">
        <f>SUM(N7:N23)</f>
        <v>2117395.4000000004</v>
      </c>
      <c r="O25" s="5">
        <f>SUM(O7:O23)</f>
        <v>0.99999999999999978</v>
      </c>
      <c r="R25" s="6">
        <f>SUM(R7:R23)</f>
        <v>828704.99999999988</v>
      </c>
    </row>
    <row r="26" spans="4:18" hidden="1">
      <c r="N26" s="5" t="s">
        <v>604</v>
      </c>
      <c r="O26" s="5">
        <v>276.23500000000001</v>
      </c>
      <c r="P26" s="7">
        <f>SUM(P7:P23)</f>
        <v>276.23500000000001</v>
      </c>
    </row>
    <row r="27" spans="4:18" hidden="1">
      <c r="P27" s="5">
        <f>P26*3</f>
        <v>828.70500000000004</v>
      </c>
    </row>
    <row r="28" spans="4:18" hidden="1"/>
    <row r="29" spans="4:18" hidden="1"/>
    <row r="30" spans="4:18" hidden="1"/>
    <row r="31" spans="4:18" hidden="1">
      <c r="M31" s="5" t="s">
        <v>595</v>
      </c>
    </row>
    <row r="32" spans="4:18" hidden="1"/>
    <row r="33" spans="13:13" hidden="1">
      <c r="M33" s="5" t="s">
        <v>592</v>
      </c>
    </row>
    <row r="34" spans="13:13" hidden="1">
      <c r="M34" s="84">
        <v>0.19</v>
      </c>
    </row>
    <row r="35" spans="13:13" hidden="1"/>
    <row r="36" spans="13:13" hidden="1"/>
    <row r="37" spans="13:13" hidden="1"/>
    <row r="38" spans="13:13" hidden="1"/>
    <row r="39" spans="13:13" hidden="1"/>
    <row r="40" spans="13:13" hidden="1"/>
    <row r="41" spans="13:13" ht="14.25" hidden="1" customHeight="1"/>
    <row r="42" spans="13:13" hidden="1"/>
    <row r="43" spans="13:13" hidden="1"/>
    <row r="44" spans="13:13" hidden="1"/>
    <row r="45" spans="13:13" hidden="1"/>
    <row r="46" spans="13:13" hidden="1"/>
    <row r="47" spans="13:13" hidden="1"/>
    <row r="48" spans="13:13" hidden="1"/>
  </sheetData>
  <sheetProtection sheet="1" objects="1" scenarios="1"/>
  <mergeCells count="2">
    <mergeCell ref="AA5:AE5"/>
    <mergeCell ref="T5:Y5"/>
  </mergeCells>
  <pageMargins left="0.7" right="0.7" top="0.75" bottom="0.75" header="0.3" footer="0.3"/>
  <pageSetup paperSize="9" orientation="portrait"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BF5F3-2E97-4841-99DD-DEBACCA9CD37}">
  <sheetPr codeName="Feuil6"/>
  <dimension ref="D6:AJ66"/>
  <sheetViews>
    <sheetView topLeftCell="J1" workbookViewId="0">
      <selection activeCell="D7" sqref="D7:U23"/>
    </sheetView>
  </sheetViews>
  <sheetFormatPr baseColWidth="10" defaultRowHeight="15"/>
  <cols>
    <col min="1" max="4" width="11" style="5"/>
    <col min="5" max="5" width="16.625" style="5" bestFit="1" customWidth="1"/>
    <col min="6" max="8" width="11" style="5"/>
    <col min="9" max="9" width="14.875" style="5" customWidth="1"/>
    <col min="10" max="21" width="11" style="5"/>
    <col min="22" max="23" width="0" style="5" hidden="1" customWidth="1"/>
    <col min="24" max="24" width="15.625" style="5" hidden="1" customWidth="1"/>
    <col min="25" max="25" width="10" style="5" customWidth="1"/>
    <col min="26" max="26" width="9.25" style="5" customWidth="1"/>
    <col min="27" max="27" width="10" style="5" customWidth="1"/>
    <col min="28" max="29" width="11.75" style="5" customWidth="1"/>
    <col min="30" max="30" width="7.625" style="5" customWidth="1"/>
    <col min="31" max="31" width="11" style="5"/>
    <col min="32" max="32" width="16" style="5" bestFit="1" customWidth="1"/>
    <col min="33" max="16384" width="11" style="5"/>
  </cols>
  <sheetData>
    <row r="6" spans="4:33" ht="75">
      <c r="D6" s="12" t="s">
        <v>229</v>
      </c>
      <c r="E6" s="12" t="s">
        <v>228</v>
      </c>
      <c r="F6" s="12" t="s">
        <v>227</v>
      </c>
      <c r="G6" s="12" t="s">
        <v>226</v>
      </c>
      <c r="H6" s="12" t="s">
        <v>225</v>
      </c>
      <c r="I6" s="12" t="s">
        <v>268</v>
      </c>
      <c r="J6" s="12" t="s">
        <v>224</v>
      </c>
      <c r="K6" s="12" t="s">
        <v>223</v>
      </c>
      <c r="L6" s="12" t="s">
        <v>222</v>
      </c>
      <c r="M6" s="12" t="s">
        <v>267</v>
      </c>
      <c r="N6" s="12" t="s">
        <v>266</v>
      </c>
      <c r="O6" s="12" t="s">
        <v>265</v>
      </c>
      <c r="P6" s="12"/>
      <c r="Q6" s="12" t="s">
        <v>264</v>
      </c>
      <c r="R6" s="12" t="s">
        <v>215</v>
      </c>
      <c r="S6" s="12" t="s">
        <v>263</v>
      </c>
      <c r="T6" s="12" t="s">
        <v>262</v>
      </c>
      <c r="U6" s="12" t="s">
        <v>263</v>
      </c>
      <c r="V6" s="20" t="s">
        <v>261</v>
      </c>
      <c r="W6" s="20" t="s">
        <v>260</v>
      </c>
      <c r="X6" s="20" t="s">
        <v>155</v>
      </c>
      <c r="AB6" s="12" t="s">
        <v>240</v>
      </c>
      <c r="AC6" s="12" t="s">
        <v>239</v>
      </c>
      <c r="AD6" s="12" t="s">
        <v>238</v>
      </c>
      <c r="AE6" s="12" t="s">
        <v>237</v>
      </c>
      <c r="AF6" s="12" t="s">
        <v>236</v>
      </c>
      <c r="AG6" s="12" t="s">
        <v>154</v>
      </c>
    </row>
    <row r="7" spans="4:33">
      <c r="D7" s="20">
        <v>28</v>
      </c>
      <c r="E7" s="21" t="s">
        <v>192</v>
      </c>
      <c r="F7" s="20">
        <v>14</v>
      </c>
      <c r="G7" s="21" t="s">
        <v>181</v>
      </c>
      <c r="H7" s="20">
        <v>1</v>
      </c>
      <c r="I7" s="21" t="s">
        <v>211</v>
      </c>
      <c r="J7" s="29">
        <v>123</v>
      </c>
      <c r="K7" s="29">
        <v>73516</v>
      </c>
      <c r="L7" s="29">
        <v>74932</v>
      </c>
      <c r="M7" s="29">
        <v>2</v>
      </c>
      <c r="N7" s="5">
        <f>M7/M25</f>
        <v>1.9607843137254902E-2</v>
      </c>
      <c r="O7" s="5">
        <f t="shared" ref="O7:O23" si="0">M7*250</f>
        <v>500</v>
      </c>
      <c r="Q7" s="5">
        <f>O7</f>
        <v>500</v>
      </c>
      <c r="R7" s="5">
        <f t="shared" ref="R7:R23" si="1">Q7/$Q$27</f>
        <v>5.9523809523809521E-3</v>
      </c>
      <c r="S7" s="6">
        <f t="shared" ref="S7:S23" si="2">$U$30*R7</f>
        <v>82.416666662499992</v>
      </c>
      <c r="U7" s="5">
        <v>82.416666662499992</v>
      </c>
      <c r="AB7" s="115">
        <v>40</v>
      </c>
      <c r="AC7" s="115">
        <v>25</v>
      </c>
      <c r="AD7" s="115">
        <v>20</v>
      </c>
      <c r="AE7" s="115">
        <v>10</v>
      </c>
      <c r="AF7" s="115">
        <v>5</v>
      </c>
      <c r="AG7" s="115">
        <f>SUM(AB7:AF7)</f>
        <v>100</v>
      </c>
    </row>
    <row r="8" spans="4:33">
      <c r="D8" s="20">
        <v>28</v>
      </c>
      <c r="E8" s="21" t="s">
        <v>192</v>
      </c>
      <c r="F8" s="20">
        <v>14</v>
      </c>
      <c r="G8" s="21" t="s">
        <v>181</v>
      </c>
      <c r="H8" s="20">
        <v>2</v>
      </c>
      <c r="I8" s="21" t="s">
        <v>210</v>
      </c>
      <c r="J8" s="29">
        <v>201</v>
      </c>
      <c r="K8" s="29">
        <v>393027</v>
      </c>
      <c r="L8" s="29">
        <v>399850</v>
      </c>
      <c r="M8" s="29">
        <v>15</v>
      </c>
      <c r="O8" s="5">
        <f t="shared" si="0"/>
        <v>3750</v>
      </c>
      <c r="Q8" s="5">
        <f>O8+2500</f>
        <v>6250</v>
      </c>
      <c r="R8" s="5">
        <f t="shared" si="1"/>
        <v>7.4404761904761904E-2</v>
      </c>
      <c r="S8" s="6">
        <f t="shared" si="2"/>
        <v>1030.2083332812499</v>
      </c>
      <c r="U8" s="5">
        <v>1030.2083332812499</v>
      </c>
      <c r="AB8" s="115">
        <v>33600</v>
      </c>
      <c r="AC8" s="115">
        <v>21000</v>
      </c>
      <c r="AD8" s="115">
        <v>16800</v>
      </c>
      <c r="AE8" s="115">
        <v>8400</v>
      </c>
      <c r="AF8" s="115">
        <v>4200</v>
      </c>
      <c r="AG8" s="115">
        <f>SUM(AB8:AF8)</f>
        <v>84000</v>
      </c>
    </row>
    <row r="9" spans="4:33">
      <c r="D9" s="20">
        <v>28</v>
      </c>
      <c r="E9" s="21" t="s">
        <v>192</v>
      </c>
      <c r="F9" s="20">
        <v>14</v>
      </c>
      <c r="G9" s="21" t="s">
        <v>181</v>
      </c>
      <c r="H9" s="20">
        <v>3</v>
      </c>
      <c r="I9" s="21" t="s">
        <v>209</v>
      </c>
      <c r="J9" s="29">
        <v>160</v>
      </c>
      <c r="K9" s="29">
        <v>159810</v>
      </c>
      <c r="L9" s="29">
        <v>163468</v>
      </c>
      <c r="M9" s="29">
        <v>8</v>
      </c>
      <c r="O9" s="5">
        <f t="shared" si="0"/>
        <v>2000</v>
      </c>
      <c r="Q9" s="5">
        <f>O9</f>
        <v>2000</v>
      </c>
      <c r="R9" s="5">
        <f t="shared" si="1"/>
        <v>2.3809523809523808E-2</v>
      </c>
      <c r="S9" s="6">
        <f t="shared" si="2"/>
        <v>329.66666664999997</v>
      </c>
      <c r="U9" s="5">
        <v>329.66666664999997</v>
      </c>
      <c r="AB9" s="115">
        <v>10080</v>
      </c>
      <c r="AC9" s="115">
        <v>2799.9999992999997</v>
      </c>
      <c r="AD9" s="115">
        <v>84</v>
      </c>
      <c r="AE9" s="115">
        <v>42</v>
      </c>
      <c r="AF9" s="115">
        <v>840</v>
      </c>
      <c r="AG9" s="115">
        <f>SUM(AB9:AF9)</f>
        <v>13845.9999993</v>
      </c>
    </row>
    <row r="10" spans="4:33">
      <c r="D10" s="20">
        <v>28</v>
      </c>
      <c r="E10" s="21" t="s">
        <v>192</v>
      </c>
      <c r="F10" s="20">
        <v>14</v>
      </c>
      <c r="G10" s="21" t="s">
        <v>181</v>
      </c>
      <c r="H10" s="20">
        <v>4</v>
      </c>
      <c r="I10" s="21" t="s">
        <v>208</v>
      </c>
      <c r="J10" s="29">
        <v>44</v>
      </c>
      <c r="K10" s="29">
        <v>71194</v>
      </c>
      <c r="L10" s="29">
        <v>73131</v>
      </c>
      <c r="M10" s="29">
        <v>4</v>
      </c>
      <c r="O10" s="5">
        <f t="shared" si="0"/>
        <v>1000</v>
      </c>
      <c r="Q10" s="5">
        <f>O10+1000</f>
        <v>2000</v>
      </c>
      <c r="R10" s="5">
        <f t="shared" si="1"/>
        <v>2.3809523809523808E-2</v>
      </c>
      <c r="S10" s="6">
        <f t="shared" si="2"/>
        <v>329.66666664999997</v>
      </c>
      <c r="U10" s="5">
        <v>329.66666664999997</v>
      </c>
    </row>
    <row r="11" spans="4:33">
      <c r="D11" s="20">
        <v>28</v>
      </c>
      <c r="E11" s="21" t="s">
        <v>192</v>
      </c>
      <c r="F11" s="20">
        <v>27</v>
      </c>
      <c r="G11" s="21" t="s">
        <v>205</v>
      </c>
      <c r="H11" s="20">
        <v>1</v>
      </c>
      <c r="I11" s="21" t="s">
        <v>207</v>
      </c>
      <c r="J11" s="29">
        <v>185</v>
      </c>
      <c r="K11" s="29">
        <v>235416</v>
      </c>
      <c r="L11" s="29">
        <v>240268</v>
      </c>
      <c r="M11" s="29">
        <v>7</v>
      </c>
      <c r="O11" s="5">
        <f t="shared" si="0"/>
        <v>1750</v>
      </c>
      <c r="Q11" s="5">
        <f>O11+34500</f>
        <v>36250</v>
      </c>
      <c r="R11" s="5">
        <f t="shared" si="1"/>
        <v>0.43154761904761907</v>
      </c>
      <c r="S11" s="6">
        <f t="shared" si="2"/>
        <v>5975.2083330312507</v>
      </c>
      <c r="U11" s="5">
        <v>5975.2083330312507</v>
      </c>
    </row>
    <row r="12" spans="4:33">
      <c r="D12" s="20">
        <v>28</v>
      </c>
      <c r="E12" s="21" t="s">
        <v>192</v>
      </c>
      <c r="F12" s="20">
        <v>27</v>
      </c>
      <c r="G12" s="21" t="s">
        <v>205</v>
      </c>
      <c r="H12" s="20">
        <v>2</v>
      </c>
      <c r="I12" s="21" t="s">
        <v>206</v>
      </c>
      <c r="J12" s="29">
        <v>297</v>
      </c>
      <c r="K12" s="29">
        <v>225807</v>
      </c>
      <c r="L12" s="29">
        <v>230922</v>
      </c>
      <c r="M12" s="29">
        <v>4</v>
      </c>
      <c r="O12" s="5">
        <f t="shared" si="0"/>
        <v>1000</v>
      </c>
      <c r="Q12" s="5">
        <f>O12</f>
        <v>1000</v>
      </c>
      <c r="R12" s="5">
        <f t="shared" si="1"/>
        <v>1.1904761904761904E-2</v>
      </c>
      <c r="S12" s="6">
        <f t="shared" si="2"/>
        <v>164.83333332499998</v>
      </c>
      <c r="U12" s="5">
        <v>164.83333332499998</v>
      </c>
    </row>
    <row r="13" spans="4:33">
      <c r="D13" s="20">
        <v>28</v>
      </c>
      <c r="E13" s="21" t="s">
        <v>192</v>
      </c>
      <c r="F13" s="20">
        <v>27</v>
      </c>
      <c r="G13" s="21" t="s">
        <v>205</v>
      </c>
      <c r="H13" s="20">
        <v>3</v>
      </c>
      <c r="I13" s="21" t="s">
        <v>204</v>
      </c>
      <c r="J13" s="29">
        <v>103</v>
      </c>
      <c r="K13" s="29">
        <v>138445</v>
      </c>
      <c r="L13" s="29">
        <v>141576</v>
      </c>
      <c r="M13" s="29">
        <v>5</v>
      </c>
      <c r="O13" s="5">
        <f t="shared" si="0"/>
        <v>1250</v>
      </c>
      <c r="Q13" s="5">
        <f>O13+1500</f>
        <v>2750</v>
      </c>
      <c r="R13" s="5">
        <f t="shared" si="1"/>
        <v>3.273809523809524E-2</v>
      </c>
      <c r="S13" s="6">
        <f t="shared" si="2"/>
        <v>453.29166664375003</v>
      </c>
      <c r="U13" s="5">
        <v>453.29166664375003</v>
      </c>
    </row>
    <row r="14" spans="4:33">
      <c r="D14" s="20">
        <v>28</v>
      </c>
      <c r="E14" s="21" t="s">
        <v>192</v>
      </c>
      <c r="F14" s="20">
        <v>50</v>
      </c>
      <c r="G14" s="21" t="s">
        <v>200</v>
      </c>
      <c r="H14" s="20">
        <v>1</v>
      </c>
      <c r="I14" s="21" t="s">
        <v>203</v>
      </c>
      <c r="J14" s="29">
        <v>134</v>
      </c>
      <c r="K14" s="29">
        <v>134398</v>
      </c>
      <c r="L14" s="29">
        <v>138960</v>
      </c>
      <c r="M14" s="29">
        <v>8</v>
      </c>
      <c r="O14" s="5">
        <f t="shared" si="0"/>
        <v>2000</v>
      </c>
      <c r="Q14" s="5">
        <f>O14+3500</f>
        <v>5500</v>
      </c>
      <c r="R14" s="5">
        <f t="shared" si="1"/>
        <v>6.5476190476190479E-2</v>
      </c>
      <c r="S14" s="6">
        <f t="shared" si="2"/>
        <v>906.58333328750007</v>
      </c>
      <c r="U14" s="5">
        <v>906.58333328750007</v>
      </c>
    </row>
    <row r="15" spans="4:33">
      <c r="D15" s="20">
        <v>28</v>
      </c>
      <c r="E15" s="21" t="s">
        <v>192</v>
      </c>
      <c r="F15" s="20">
        <v>50</v>
      </c>
      <c r="G15" s="21" t="s">
        <v>200</v>
      </c>
      <c r="H15" s="20">
        <v>2</v>
      </c>
      <c r="I15" s="21" t="s">
        <v>202</v>
      </c>
      <c r="J15" s="29">
        <v>144</v>
      </c>
      <c r="K15" s="29">
        <v>186773</v>
      </c>
      <c r="L15" s="29">
        <v>191708</v>
      </c>
      <c r="M15" s="29">
        <v>4</v>
      </c>
      <c r="O15" s="5">
        <f t="shared" si="0"/>
        <v>1000</v>
      </c>
      <c r="Q15" s="5">
        <f>O15+2700</f>
        <v>3700</v>
      </c>
      <c r="R15" s="5">
        <f t="shared" si="1"/>
        <v>4.4047619047619051E-2</v>
      </c>
      <c r="S15" s="6">
        <f t="shared" si="2"/>
        <v>609.88333330250009</v>
      </c>
      <c r="U15" s="5">
        <v>609.88333330250009</v>
      </c>
    </row>
    <row r="16" spans="4:33">
      <c r="D16" s="20">
        <v>28</v>
      </c>
      <c r="E16" s="21" t="s">
        <v>192</v>
      </c>
      <c r="F16" s="20">
        <v>50</v>
      </c>
      <c r="G16" s="21" t="s">
        <v>200</v>
      </c>
      <c r="H16" s="20">
        <v>3</v>
      </c>
      <c r="I16" s="21" t="s">
        <v>201</v>
      </c>
      <c r="J16" s="29">
        <v>81</v>
      </c>
      <c r="K16" s="29">
        <v>70274</v>
      </c>
      <c r="L16" s="29">
        <v>72885</v>
      </c>
      <c r="M16" s="29">
        <v>4</v>
      </c>
      <c r="O16" s="5">
        <f t="shared" si="0"/>
        <v>1000</v>
      </c>
      <c r="Q16" s="5">
        <f>O16+1800</f>
        <v>2800</v>
      </c>
      <c r="R16" s="5">
        <f t="shared" si="1"/>
        <v>3.3333333333333333E-2</v>
      </c>
      <c r="S16" s="6">
        <f t="shared" si="2"/>
        <v>461.53333330999999</v>
      </c>
      <c r="U16" s="5">
        <v>461.53333330999999</v>
      </c>
    </row>
    <row r="17" spans="4:21">
      <c r="D17" s="20">
        <v>28</v>
      </c>
      <c r="E17" s="21" t="s">
        <v>192</v>
      </c>
      <c r="F17" s="20">
        <v>50</v>
      </c>
      <c r="G17" s="21" t="s">
        <v>200</v>
      </c>
      <c r="H17" s="20">
        <v>4</v>
      </c>
      <c r="I17" s="21" t="s">
        <v>199</v>
      </c>
      <c r="J17" s="29">
        <v>87</v>
      </c>
      <c r="K17" s="29">
        <v>103648</v>
      </c>
      <c r="L17" s="29">
        <v>106953</v>
      </c>
      <c r="M17" s="29">
        <v>7</v>
      </c>
      <c r="O17" s="5">
        <f t="shared" si="0"/>
        <v>1750</v>
      </c>
      <c r="Q17" s="5">
        <f>O17</f>
        <v>1750</v>
      </c>
      <c r="R17" s="5">
        <f t="shared" si="1"/>
        <v>2.0833333333333332E-2</v>
      </c>
      <c r="S17" s="6">
        <f t="shared" si="2"/>
        <v>288.45833331874996</v>
      </c>
      <c r="U17" s="5">
        <v>288.45833331874996</v>
      </c>
    </row>
    <row r="18" spans="4:21">
      <c r="D18" s="20">
        <v>28</v>
      </c>
      <c r="E18" s="21" t="s">
        <v>192</v>
      </c>
      <c r="F18" s="20">
        <v>61</v>
      </c>
      <c r="G18" s="21" t="s">
        <v>196</v>
      </c>
      <c r="H18" s="20">
        <v>1</v>
      </c>
      <c r="I18" s="21" t="s">
        <v>198</v>
      </c>
      <c r="J18" s="29">
        <v>111</v>
      </c>
      <c r="K18" s="29">
        <v>85380</v>
      </c>
      <c r="L18" s="29">
        <v>87795</v>
      </c>
      <c r="M18" s="29">
        <v>5</v>
      </c>
      <c r="O18" s="5">
        <f t="shared" si="0"/>
        <v>1250</v>
      </c>
      <c r="Q18" s="5">
        <f>O18</f>
        <v>1250</v>
      </c>
      <c r="R18" s="5">
        <f t="shared" si="1"/>
        <v>1.488095238095238E-2</v>
      </c>
      <c r="S18" s="6">
        <f t="shared" si="2"/>
        <v>206.04166665624999</v>
      </c>
      <c r="U18" s="5">
        <v>206.04166665624999</v>
      </c>
    </row>
    <row r="19" spans="4:21">
      <c r="D19" s="20">
        <v>28</v>
      </c>
      <c r="E19" s="21" t="s">
        <v>192</v>
      </c>
      <c r="F19" s="20">
        <v>61</v>
      </c>
      <c r="G19" s="21" t="s">
        <v>196</v>
      </c>
      <c r="H19" s="20">
        <v>2</v>
      </c>
      <c r="I19" s="21" t="s">
        <v>197</v>
      </c>
      <c r="J19" s="29">
        <v>123</v>
      </c>
      <c r="K19" s="29">
        <v>108122</v>
      </c>
      <c r="L19" s="29">
        <v>111212</v>
      </c>
      <c r="M19" s="29">
        <v>5</v>
      </c>
      <c r="O19" s="5">
        <f t="shared" si="0"/>
        <v>1250</v>
      </c>
      <c r="Q19" s="5">
        <f>O19</f>
        <v>1250</v>
      </c>
      <c r="R19" s="5">
        <f t="shared" si="1"/>
        <v>1.488095238095238E-2</v>
      </c>
      <c r="S19" s="6">
        <f t="shared" si="2"/>
        <v>206.04166665624999</v>
      </c>
      <c r="U19" s="5">
        <v>206.04166665624999</v>
      </c>
    </row>
    <row r="20" spans="4:21" ht="25.5">
      <c r="D20" s="20">
        <v>28</v>
      </c>
      <c r="E20" s="21" t="s">
        <v>192</v>
      </c>
      <c r="F20" s="20">
        <v>61</v>
      </c>
      <c r="G20" s="21" t="s">
        <v>196</v>
      </c>
      <c r="H20" s="20">
        <v>3</v>
      </c>
      <c r="I20" s="21" t="s">
        <v>195</v>
      </c>
      <c r="J20" s="29">
        <v>151</v>
      </c>
      <c r="K20" s="29">
        <v>84973</v>
      </c>
      <c r="L20" s="29">
        <v>87272</v>
      </c>
      <c r="M20" s="29">
        <v>7</v>
      </c>
      <c r="O20" s="5">
        <f t="shared" si="0"/>
        <v>1750</v>
      </c>
      <c r="Q20" s="5">
        <f>O20</f>
        <v>1750</v>
      </c>
      <c r="R20" s="5">
        <f t="shared" si="1"/>
        <v>2.0833333333333332E-2</v>
      </c>
      <c r="S20" s="6">
        <f t="shared" si="2"/>
        <v>288.45833331874996</v>
      </c>
      <c r="U20" s="5">
        <v>288.45833331874996</v>
      </c>
    </row>
    <row r="21" spans="4:21" ht="25.5">
      <c r="D21" s="20">
        <v>28</v>
      </c>
      <c r="E21" s="21" t="s">
        <v>192</v>
      </c>
      <c r="F21" s="20">
        <v>76</v>
      </c>
      <c r="G21" s="21" t="s">
        <v>191</v>
      </c>
      <c r="H21" s="20">
        <v>1</v>
      </c>
      <c r="I21" s="21" t="s">
        <v>194</v>
      </c>
      <c r="J21" s="29">
        <v>343</v>
      </c>
      <c r="K21" s="29">
        <v>232723</v>
      </c>
      <c r="L21" s="29">
        <v>238071</v>
      </c>
      <c r="M21" s="29">
        <v>10</v>
      </c>
      <c r="O21" s="5">
        <f t="shared" si="0"/>
        <v>2500</v>
      </c>
      <c r="Q21" s="5">
        <f>O21+6000</f>
        <v>8500</v>
      </c>
      <c r="R21" s="5">
        <f t="shared" si="1"/>
        <v>0.10119047619047619</v>
      </c>
      <c r="S21" s="6">
        <f t="shared" si="2"/>
        <v>1401.0833332625</v>
      </c>
      <c r="U21" s="5">
        <v>1401.0833332625</v>
      </c>
    </row>
    <row r="22" spans="4:21" ht="25.5">
      <c r="D22" s="20">
        <v>28</v>
      </c>
      <c r="E22" s="21" t="s">
        <v>192</v>
      </c>
      <c r="F22" s="20">
        <v>76</v>
      </c>
      <c r="G22" s="21" t="s">
        <v>191</v>
      </c>
      <c r="H22" s="20">
        <v>2</v>
      </c>
      <c r="I22" s="21" t="s">
        <v>193</v>
      </c>
      <c r="J22" s="29">
        <v>149</v>
      </c>
      <c r="K22" s="29">
        <v>383415</v>
      </c>
      <c r="L22" s="29">
        <v>388909</v>
      </c>
      <c r="M22" s="29">
        <v>7</v>
      </c>
      <c r="O22" s="5">
        <f t="shared" si="0"/>
        <v>1750</v>
      </c>
      <c r="Q22" s="5">
        <f>O22</f>
        <v>1750</v>
      </c>
      <c r="R22" s="5">
        <f t="shared" si="1"/>
        <v>2.0833333333333332E-2</v>
      </c>
      <c r="S22" s="6">
        <f t="shared" si="2"/>
        <v>288.45833331874996</v>
      </c>
      <c r="U22" s="5">
        <v>288.45833331874996</v>
      </c>
    </row>
    <row r="23" spans="4:21" ht="25.5">
      <c r="D23" s="20">
        <v>28</v>
      </c>
      <c r="E23" s="21" t="s">
        <v>192</v>
      </c>
      <c r="F23" s="20">
        <v>76</v>
      </c>
      <c r="G23" s="21" t="s">
        <v>191</v>
      </c>
      <c r="H23" s="20">
        <v>3</v>
      </c>
      <c r="I23" s="21" t="s">
        <v>190</v>
      </c>
      <c r="J23" s="29">
        <v>216</v>
      </c>
      <c r="K23" s="29">
        <v>638601</v>
      </c>
      <c r="L23" s="29">
        <v>648402</v>
      </c>
      <c r="M23" s="29">
        <v>20</v>
      </c>
      <c r="O23" s="5">
        <f t="shared" si="0"/>
        <v>5000</v>
      </c>
      <c r="Q23" s="5">
        <f>O23</f>
        <v>5000</v>
      </c>
      <c r="R23" s="5">
        <f t="shared" si="1"/>
        <v>5.9523809523809521E-2</v>
      </c>
      <c r="S23" s="6">
        <f t="shared" si="2"/>
        <v>824.16666662499995</v>
      </c>
      <c r="U23" s="5">
        <v>824.16666662499995</v>
      </c>
    </row>
    <row r="25" spans="4:21" hidden="1">
      <c r="M25" s="13">
        <f>SUM(M7:M22)</f>
        <v>102</v>
      </c>
      <c r="S25" s="5">
        <f>SUM(S7:S23)</f>
        <v>13845.999999300002</v>
      </c>
      <c r="U25" s="5">
        <f>SUM(U7:U23)</f>
        <v>13845.999999300002</v>
      </c>
    </row>
    <row r="26" spans="4:21" hidden="1">
      <c r="F26" s="5" t="s">
        <v>259</v>
      </c>
    </row>
    <row r="27" spans="4:21" hidden="1">
      <c r="M27" s="5" t="s">
        <v>258</v>
      </c>
      <c r="O27" s="5">
        <f>SUM(O7:O23)</f>
        <v>30500</v>
      </c>
      <c r="Q27" s="5">
        <f>SUM(Q7:Q23)</f>
        <v>84000</v>
      </c>
      <c r="R27" s="5">
        <f>SUM(R7:R23)</f>
        <v>0.99999999999999989</v>
      </c>
      <c r="S27" s="5">
        <f>SUM(S7:S23)</f>
        <v>13845.999999300002</v>
      </c>
    </row>
    <row r="28" spans="4:21" hidden="1"/>
    <row r="29" spans="4:21" s="28" customFormat="1" ht="60" hidden="1">
      <c r="F29" s="28" t="s">
        <v>240</v>
      </c>
      <c r="G29" s="28" t="s">
        <v>239</v>
      </c>
      <c r="H29" s="28" t="s">
        <v>257</v>
      </c>
      <c r="I29" s="28" t="s">
        <v>253</v>
      </c>
      <c r="J29" s="28" t="s">
        <v>252</v>
      </c>
      <c r="Q29" s="28" t="s">
        <v>256</v>
      </c>
    </row>
    <row r="30" spans="4:21" hidden="1">
      <c r="E30" s="5" t="s">
        <v>255</v>
      </c>
      <c r="F30" s="5">
        <v>0.4</v>
      </c>
      <c r="G30" s="5">
        <v>0.25</v>
      </c>
      <c r="H30" s="5">
        <v>0.2</v>
      </c>
      <c r="I30" s="5">
        <v>0.1</v>
      </c>
      <c r="J30" s="5">
        <v>0.05</v>
      </c>
      <c r="K30" s="5">
        <f>SUM(F30:J30)</f>
        <v>1</v>
      </c>
      <c r="U30" s="5">
        <f>K33</f>
        <v>13845.9999993</v>
      </c>
    </row>
    <row r="31" spans="4:21" hidden="1">
      <c r="E31" s="5" t="s">
        <v>254</v>
      </c>
      <c r="F31" s="5">
        <f>F30*100</f>
        <v>40</v>
      </c>
      <c r="G31" s="5">
        <f>G30*100</f>
        <v>25</v>
      </c>
      <c r="H31" s="5">
        <f>H30*100</f>
        <v>20</v>
      </c>
      <c r="I31" s="5">
        <f>I30*100</f>
        <v>10</v>
      </c>
      <c r="J31" s="5">
        <f>J30*100</f>
        <v>5</v>
      </c>
      <c r="K31" s="5">
        <f>SUM(F31:J31)</f>
        <v>100</v>
      </c>
      <c r="T31" s="5">
        <f>(O27-Q27)/Q27</f>
        <v>-0.63690476190476186</v>
      </c>
    </row>
    <row r="32" spans="4:21" hidden="1">
      <c r="E32" s="5" t="s">
        <v>248</v>
      </c>
      <c r="F32" s="5">
        <f>F30*$Q$27</f>
        <v>33600</v>
      </c>
      <c r="G32" s="5">
        <f>G30*$Q$27</f>
        <v>21000</v>
      </c>
      <c r="H32" s="5">
        <f>H30*$Q$27</f>
        <v>16800</v>
      </c>
      <c r="I32" s="5">
        <f>I30*$Q$27</f>
        <v>8400</v>
      </c>
      <c r="J32" s="5">
        <f>J30*$Q$27</f>
        <v>4200</v>
      </c>
      <c r="Q32" s="5">
        <v>23000000</v>
      </c>
    </row>
    <row r="33" spans="4:36" ht="45" hidden="1">
      <c r="E33" s="5" t="s">
        <v>233</v>
      </c>
      <c r="F33" s="5">
        <f>($F$32*100*3)/1000</f>
        <v>10080</v>
      </c>
      <c r="G33" s="5">
        <f>($G$32*100*1.333333333)/1000</f>
        <v>2799.9999992999997</v>
      </c>
      <c r="H33" s="5">
        <f>($H$32*(100/20))/1000</f>
        <v>84</v>
      </c>
      <c r="I33" s="5">
        <f>($I$32*(100/20))/1000</f>
        <v>42</v>
      </c>
      <c r="J33" s="5">
        <f>($J$32*(100*2)/1000)</f>
        <v>840</v>
      </c>
      <c r="K33" s="5">
        <f>SUM(F33:J33)</f>
        <v>13845.9999993</v>
      </c>
      <c r="Q33" s="5">
        <f>Q32*0.05</f>
        <v>1150000</v>
      </c>
      <c r="X33" s="28"/>
      <c r="Y33" s="28" t="s">
        <v>240</v>
      </c>
      <c r="Z33" s="28" t="s">
        <v>239</v>
      </c>
      <c r="AA33" s="28" t="s">
        <v>238</v>
      </c>
      <c r="AB33" s="28" t="s">
        <v>253</v>
      </c>
      <c r="AC33" s="28" t="s">
        <v>252</v>
      </c>
    </row>
    <row r="34" spans="4:36" hidden="1">
      <c r="N34" s="5" t="s">
        <v>251</v>
      </c>
      <c r="Q34" s="5">
        <f>Q33/2300</f>
        <v>500</v>
      </c>
      <c r="Y34" s="5">
        <v>0.4</v>
      </c>
      <c r="Z34" s="5">
        <v>0.25</v>
      </c>
      <c r="AA34" s="5">
        <v>0.2</v>
      </c>
      <c r="AB34" s="5">
        <v>0.1</v>
      </c>
      <c r="AC34" s="5">
        <v>0.05</v>
      </c>
    </row>
    <row r="35" spans="4:36" hidden="1">
      <c r="E35" s="5" t="s">
        <v>250</v>
      </c>
      <c r="M35" s="5" t="s">
        <v>249</v>
      </c>
      <c r="Q35" s="5">
        <f>Q34*102</f>
        <v>51000</v>
      </c>
      <c r="X35" s="5" t="s">
        <v>235</v>
      </c>
      <c r="Y35" s="5">
        <f>Y34*100</f>
        <v>40</v>
      </c>
      <c r="Z35" s="5">
        <f>Z34*100</f>
        <v>25</v>
      </c>
      <c r="AA35" s="5">
        <f>AA34*100</f>
        <v>20</v>
      </c>
      <c r="AB35" s="5">
        <f>AB34*100</f>
        <v>10</v>
      </c>
      <c r="AC35" s="5">
        <f>AC34*100</f>
        <v>5</v>
      </c>
    </row>
    <row r="36" spans="4:36" hidden="1">
      <c r="X36" s="5" t="s">
        <v>248</v>
      </c>
      <c r="Y36" s="5">
        <f>Y34*$Q$27</f>
        <v>33600</v>
      </c>
      <c r="Z36" s="5">
        <f>Z34*$Q$27</f>
        <v>21000</v>
      </c>
      <c r="AA36" s="5">
        <f>AA34*$Q$27</f>
        <v>16800</v>
      </c>
      <c r="AB36" s="5">
        <f>AB34*$Q$27</f>
        <v>8400</v>
      </c>
      <c r="AC36" s="5">
        <f>AC34*$Q$27</f>
        <v>4200</v>
      </c>
    </row>
    <row r="37" spans="4:36" hidden="1">
      <c r="O37" s="5" t="s">
        <v>247</v>
      </c>
      <c r="X37" s="5" t="s">
        <v>233</v>
      </c>
      <c r="Y37" s="5">
        <f>($F$32*100*3)/1000</f>
        <v>10080</v>
      </c>
      <c r="Z37" s="5">
        <f>($G$32*100*1.333333333)/1000</f>
        <v>2799.9999992999997</v>
      </c>
      <c r="AA37" s="5">
        <f>($H$32*(100/20))/1000</f>
        <v>84</v>
      </c>
      <c r="AB37" s="5">
        <f>($I$32*(100/20))/1000</f>
        <v>42</v>
      </c>
      <c r="AC37" s="5">
        <f>($J$32*(100*2)/1000)</f>
        <v>840</v>
      </c>
    </row>
    <row r="38" spans="4:36" hidden="1"/>
    <row r="39" spans="4:36" hidden="1">
      <c r="D39" s="5" t="s">
        <v>246</v>
      </c>
      <c r="E39" s="5">
        <v>12</v>
      </c>
    </row>
    <row r="40" spans="4:36" hidden="1">
      <c r="D40" s="5" t="s">
        <v>245</v>
      </c>
      <c r="E40" s="5">
        <v>9</v>
      </c>
      <c r="O40" s="5" t="s">
        <v>244</v>
      </c>
      <c r="T40" s="5">
        <f>53400/84000</f>
        <v>0.63571428571428568</v>
      </c>
    </row>
    <row r="41" spans="4:36" hidden="1">
      <c r="E41" s="5">
        <v>6</v>
      </c>
      <c r="O41" s="5" t="s">
        <v>243</v>
      </c>
    </row>
    <row r="42" spans="4:36" ht="30" hidden="1">
      <c r="E42" s="5">
        <v>4</v>
      </c>
      <c r="O42" s="5" t="s">
        <v>242</v>
      </c>
      <c r="T42" s="5">
        <f>30000/84000</f>
        <v>0.35714285714285715</v>
      </c>
      <c r="X42" s="27" t="s">
        <v>241</v>
      </c>
      <c r="Y42" s="26" t="s">
        <v>797</v>
      </c>
      <c r="Z42" s="26" t="s">
        <v>798</v>
      </c>
      <c r="AA42" s="26" t="s">
        <v>799</v>
      </c>
      <c r="AB42" s="26" t="s">
        <v>800</v>
      </c>
      <c r="AC42" s="26" t="s">
        <v>801</v>
      </c>
      <c r="AD42" s="26" t="s">
        <v>802</v>
      </c>
    </row>
    <row r="43" spans="4:36" hidden="1">
      <c r="E43" s="5">
        <v>3</v>
      </c>
      <c r="X43" s="25" t="s">
        <v>235</v>
      </c>
      <c r="Y43" s="79"/>
      <c r="Z43" s="79"/>
      <c r="AA43" s="79"/>
      <c r="AB43" s="79"/>
      <c r="AC43" s="79"/>
      <c r="AD43" s="123"/>
    </row>
    <row r="44" spans="4:36" hidden="1">
      <c r="X44" s="25" t="s">
        <v>234</v>
      </c>
      <c r="Y44" s="11"/>
      <c r="Z44" s="11"/>
      <c r="AA44" s="11"/>
      <c r="AB44" s="11"/>
      <c r="AC44" s="11"/>
      <c r="AD44" s="122"/>
    </row>
    <row r="45" spans="4:36" hidden="1">
      <c r="X45" s="24" t="s">
        <v>233</v>
      </c>
      <c r="Y45" s="121"/>
      <c r="Z45" s="121"/>
      <c r="AA45" s="121"/>
      <c r="AB45" s="121"/>
      <c r="AC45" s="121"/>
      <c r="AD45" s="124"/>
    </row>
    <row r="46" spans="4:36" hidden="1"/>
    <row r="48" spans="4:36" ht="45">
      <c r="AF48" s="12" t="s">
        <v>144</v>
      </c>
      <c r="AG48" s="12" t="s">
        <v>232</v>
      </c>
      <c r="AH48" s="12" t="s">
        <v>231</v>
      </c>
      <c r="AI48" s="12" t="s">
        <v>213</v>
      </c>
      <c r="AJ48" s="12" t="s">
        <v>212</v>
      </c>
    </row>
    <row r="49" spans="32:36">
      <c r="AF49" s="11" t="s">
        <v>211</v>
      </c>
      <c r="AG49" s="11">
        <v>500</v>
      </c>
      <c r="AH49" s="10">
        <v>82.416666662499992</v>
      </c>
      <c r="AI49" s="10">
        <f t="shared" ref="AI49:AI65" si="3">AH49*0.05</f>
        <v>4.1208333331249998</v>
      </c>
      <c r="AJ49" s="10">
        <f t="shared" ref="AJ49:AJ65" si="4">AH49*0.1</f>
        <v>8.2416666662499996</v>
      </c>
    </row>
    <row r="50" spans="32:36">
      <c r="AF50" s="11" t="s">
        <v>210</v>
      </c>
      <c r="AG50" s="11">
        <v>6250</v>
      </c>
      <c r="AH50" s="10">
        <v>1030.2083332812499</v>
      </c>
      <c r="AI50" s="10">
        <f t="shared" si="3"/>
        <v>51.510416664062497</v>
      </c>
      <c r="AJ50" s="10">
        <f t="shared" si="4"/>
        <v>103.02083332812499</v>
      </c>
    </row>
    <row r="51" spans="32:36">
      <c r="AF51" s="11" t="s">
        <v>209</v>
      </c>
      <c r="AG51" s="11">
        <v>2000</v>
      </c>
      <c r="AH51" s="10">
        <v>329.66666664999997</v>
      </c>
      <c r="AI51" s="10">
        <f t="shared" si="3"/>
        <v>16.483333332499999</v>
      </c>
      <c r="AJ51" s="10">
        <f t="shared" si="4"/>
        <v>32.966666664999998</v>
      </c>
    </row>
    <row r="52" spans="32:36">
      <c r="AF52" s="11" t="s">
        <v>208</v>
      </c>
      <c r="AG52" s="11">
        <v>2000</v>
      </c>
      <c r="AH52" s="10">
        <v>329.66666664999997</v>
      </c>
      <c r="AI52" s="10">
        <f t="shared" si="3"/>
        <v>16.483333332499999</v>
      </c>
      <c r="AJ52" s="10">
        <f t="shared" si="4"/>
        <v>32.966666664999998</v>
      </c>
    </row>
    <row r="53" spans="32:36">
      <c r="AF53" s="11" t="s">
        <v>207</v>
      </c>
      <c r="AG53" s="11">
        <v>36250</v>
      </c>
      <c r="AH53" s="10">
        <v>5975.2083330312507</v>
      </c>
      <c r="AI53" s="10">
        <f t="shared" si="3"/>
        <v>298.76041665156254</v>
      </c>
      <c r="AJ53" s="10">
        <f t="shared" si="4"/>
        <v>597.52083330312507</v>
      </c>
    </row>
    <row r="54" spans="32:36">
      <c r="AF54" s="11" t="s">
        <v>206</v>
      </c>
      <c r="AG54" s="11">
        <v>1000</v>
      </c>
      <c r="AH54" s="10">
        <v>164.83333332499998</v>
      </c>
      <c r="AI54" s="10">
        <f t="shared" si="3"/>
        <v>8.2416666662499996</v>
      </c>
      <c r="AJ54" s="10">
        <f t="shared" si="4"/>
        <v>16.483333332499999</v>
      </c>
    </row>
    <row r="55" spans="32:36">
      <c r="AF55" s="11" t="s">
        <v>204</v>
      </c>
      <c r="AG55" s="11">
        <v>2750</v>
      </c>
      <c r="AH55" s="10">
        <v>453.29166664375003</v>
      </c>
      <c r="AI55" s="10">
        <f t="shared" si="3"/>
        <v>22.664583332187505</v>
      </c>
      <c r="AJ55" s="10">
        <f t="shared" si="4"/>
        <v>45.329166664375009</v>
      </c>
    </row>
    <row r="56" spans="32:36">
      <c r="AF56" s="11" t="s">
        <v>203</v>
      </c>
      <c r="AG56" s="11">
        <v>5500</v>
      </c>
      <c r="AH56" s="10">
        <v>906.58333328750007</v>
      </c>
      <c r="AI56" s="10">
        <f t="shared" si="3"/>
        <v>45.329166664375009</v>
      </c>
      <c r="AJ56" s="10">
        <f t="shared" si="4"/>
        <v>90.658333328750018</v>
      </c>
    </row>
    <row r="57" spans="32:36">
      <c r="AF57" s="11" t="s">
        <v>202</v>
      </c>
      <c r="AG57" s="11">
        <v>3700</v>
      </c>
      <c r="AH57" s="10">
        <v>609.88333330250009</v>
      </c>
      <c r="AI57" s="10">
        <f t="shared" si="3"/>
        <v>30.494166665125007</v>
      </c>
      <c r="AJ57" s="10">
        <f t="shared" si="4"/>
        <v>60.988333330250015</v>
      </c>
    </row>
    <row r="58" spans="32:36">
      <c r="AF58" s="11" t="s">
        <v>201</v>
      </c>
      <c r="AG58" s="11">
        <v>2800</v>
      </c>
      <c r="AH58" s="10">
        <v>461.53333330999999</v>
      </c>
      <c r="AI58" s="10">
        <f t="shared" si="3"/>
        <v>23.076666665499999</v>
      </c>
      <c r="AJ58" s="10">
        <f t="shared" si="4"/>
        <v>46.153333330999999</v>
      </c>
    </row>
    <row r="59" spans="32:36">
      <c r="AF59" s="11" t="s">
        <v>199</v>
      </c>
      <c r="AG59" s="11">
        <v>1750</v>
      </c>
      <c r="AH59" s="10">
        <v>288.45833331874996</v>
      </c>
      <c r="AI59" s="10">
        <f t="shared" si="3"/>
        <v>14.4229166659375</v>
      </c>
      <c r="AJ59" s="10">
        <f t="shared" si="4"/>
        <v>28.845833331874999</v>
      </c>
    </row>
    <row r="60" spans="32:36">
      <c r="AF60" s="11" t="s">
        <v>198</v>
      </c>
      <c r="AG60" s="11">
        <v>1250</v>
      </c>
      <c r="AH60" s="10">
        <v>206.04166665624999</v>
      </c>
      <c r="AI60" s="10">
        <f t="shared" si="3"/>
        <v>10.302083332812501</v>
      </c>
      <c r="AJ60" s="10">
        <f t="shared" si="4"/>
        <v>20.604166665625002</v>
      </c>
    </row>
    <row r="61" spans="32:36">
      <c r="AF61" s="11" t="s">
        <v>197</v>
      </c>
      <c r="AG61" s="11">
        <v>1250</v>
      </c>
      <c r="AH61" s="10">
        <v>206.04166665624999</v>
      </c>
      <c r="AI61" s="10">
        <f t="shared" si="3"/>
        <v>10.302083332812501</v>
      </c>
      <c r="AJ61" s="10">
        <f t="shared" si="4"/>
        <v>20.604166665625002</v>
      </c>
    </row>
    <row r="62" spans="32:36">
      <c r="AF62" s="11" t="s">
        <v>195</v>
      </c>
      <c r="AG62" s="11">
        <v>1750</v>
      </c>
      <c r="AH62" s="10">
        <v>288.45833331874996</v>
      </c>
      <c r="AI62" s="10">
        <f t="shared" si="3"/>
        <v>14.4229166659375</v>
      </c>
      <c r="AJ62" s="10">
        <f t="shared" si="4"/>
        <v>28.845833331874999</v>
      </c>
    </row>
    <row r="63" spans="32:36">
      <c r="AF63" s="11" t="s">
        <v>194</v>
      </c>
      <c r="AG63" s="11">
        <v>8500</v>
      </c>
      <c r="AH63" s="10">
        <v>1401.0833332625</v>
      </c>
      <c r="AI63" s="10">
        <f t="shared" si="3"/>
        <v>70.054166663125002</v>
      </c>
      <c r="AJ63" s="10">
        <f t="shared" si="4"/>
        <v>140.10833332625</v>
      </c>
    </row>
    <row r="64" spans="32:36">
      <c r="AF64" s="11" t="s">
        <v>193</v>
      </c>
      <c r="AG64" s="11">
        <v>1750</v>
      </c>
      <c r="AH64" s="10">
        <v>288.45833331874996</v>
      </c>
      <c r="AI64" s="10">
        <f t="shared" si="3"/>
        <v>14.4229166659375</v>
      </c>
      <c r="AJ64" s="10">
        <f t="shared" si="4"/>
        <v>28.845833331874999</v>
      </c>
    </row>
    <row r="65" spans="32:36">
      <c r="AF65" s="11" t="s">
        <v>190</v>
      </c>
      <c r="AG65" s="11">
        <v>5000</v>
      </c>
      <c r="AH65" s="10">
        <v>824.16666662499995</v>
      </c>
      <c r="AI65" s="10">
        <f t="shared" si="3"/>
        <v>41.208333331250003</v>
      </c>
      <c r="AJ65" s="10">
        <f t="shared" si="4"/>
        <v>82.416666662500006</v>
      </c>
    </row>
    <row r="66" spans="32:36">
      <c r="AF66" s="9" t="s">
        <v>230</v>
      </c>
      <c r="AG66" s="9">
        <f>SUM(AG49:AG65)</f>
        <v>84000</v>
      </c>
      <c r="AH66" s="8">
        <f>SUM(AH49:AH65)</f>
        <v>13845.999999300002</v>
      </c>
      <c r="AI66" s="8">
        <f>SUM(AI49:AI65)</f>
        <v>692.29999996499987</v>
      </c>
      <c r="AJ66" s="8">
        <f>SUM(AJ49:AJ65)</f>
        <v>1384.5999999299997</v>
      </c>
    </row>
  </sheetData>
  <sheetProtection sheet="1" objects="1" scenarios="1"/>
  <pageMargins left="0.7" right="0.7" top="0.75" bottom="0.75" header="0.3" footer="0.3"/>
  <pageSetup paperSize="9"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58A2A-6D49-4048-8409-B1441B1FAEDE}">
  <sheetPr codeName="Feuil8"/>
  <dimension ref="D5:BA57"/>
  <sheetViews>
    <sheetView topLeftCell="A3" zoomScale="70" zoomScaleNormal="70" workbookViewId="0">
      <selection activeCell="D6" sqref="D6"/>
    </sheetView>
  </sheetViews>
  <sheetFormatPr baseColWidth="10" defaultRowHeight="15"/>
  <cols>
    <col min="1" max="9" width="11" style="5"/>
    <col min="10" max="12" width="10" style="5" customWidth="1"/>
    <col min="13" max="14" width="11.25" style="5" customWidth="1"/>
    <col min="15" max="16" width="11.25" style="6" customWidth="1"/>
    <col min="17" max="18" width="10" style="7" customWidth="1"/>
    <col min="19" max="19" width="14.5" style="5" customWidth="1"/>
    <col min="20" max="20" width="13.625" style="5" customWidth="1"/>
    <col min="21" max="21" width="10" style="5" customWidth="1"/>
    <col min="22" max="22" width="14.125" style="5" customWidth="1"/>
    <col min="23" max="23" width="14.5" style="5" customWidth="1"/>
    <col min="24" max="26" width="11.5" style="5" customWidth="1"/>
    <col min="27" max="27" width="13.5" style="5" customWidth="1"/>
    <col min="28" max="28" width="8" style="5" customWidth="1"/>
    <col min="29" max="29" width="7.5" style="5" customWidth="1"/>
    <col min="30" max="30" width="8.875" style="5" customWidth="1"/>
    <col min="31" max="31" width="9.5" style="5" customWidth="1"/>
    <col min="32" max="32" width="8.625" style="5" customWidth="1"/>
    <col min="33" max="33" width="7.875" style="5" customWidth="1"/>
    <col min="34" max="34" width="8" style="5" customWidth="1"/>
    <col min="35" max="35" width="6.375" style="5" customWidth="1"/>
    <col min="36" max="36" width="9.625" style="5" customWidth="1"/>
    <col min="37" max="37" width="7.875" style="5" customWidth="1"/>
    <col min="38" max="38" width="7.75" style="5" customWidth="1"/>
    <col min="39" max="39" width="5.25" style="5" customWidth="1"/>
    <col min="40" max="40" width="11" style="5"/>
    <col min="41" max="41" width="11.625" style="5" customWidth="1"/>
    <col min="42" max="16384" width="11" style="5"/>
  </cols>
  <sheetData>
    <row r="5" spans="4:53" ht="18" customHeight="1">
      <c r="AH5" s="163" t="s">
        <v>539</v>
      </c>
      <c r="AI5" s="163"/>
      <c r="AJ5" s="163"/>
      <c r="AK5" s="163"/>
      <c r="AL5" s="163"/>
      <c r="AM5" s="163"/>
      <c r="AN5" s="163"/>
      <c r="AO5" s="163"/>
      <c r="AP5" s="163"/>
      <c r="AQ5" s="163"/>
      <c r="AR5" s="163"/>
      <c r="AS5" s="163"/>
      <c r="AT5" s="163"/>
    </row>
    <row r="6" spans="4:53" ht="75">
      <c r="D6" s="12" t="s">
        <v>229</v>
      </c>
      <c r="E6" s="12" t="s">
        <v>228</v>
      </c>
      <c r="F6" s="12" t="s">
        <v>227</v>
      </c>
      <c r="G6" s="12" t="s">
        <v>226</v>
      </c>
      <c r="H6" s="12" t="s">
        <v>225</v>
      </c>
      <c r="I6" s="12" t="s">
        <v>144</v>
      </c>
      <c r="J6" s="12" t="s">
        <v>224</v>
      </c>
      <c r="K6" s="12" t="s">
        <v>223</v>
      </c>
      <c r="L6" s="12" t="s">
        <v>222</v>
      </c>
      <c r="M6" s="12" t="s">
        <v>585</v>
      </c>
      <c r="N6" s="12" t="s">
        <v>584</v>
      </c>
      <c r="O6" s="12" t="s">
        <v>583</v>
      </c>
      <c r="P6" s="12" t="s">
        <v>582</v>
      </c>
      <c r="Q6" s="12" t="s">
        <v>581</v>
      </c>
      <c r="R6" s="12" t="s">
        <v>580</v>
      </c>
      <c r="S6" s="12" t="s">
        <v>579</v>
      </c>
      <c r="T6" s="12" t="s">
        <v>578</v>
      </c>
      <c r="U6" s="12" t="s">
        <v>577</v>
      </c>
      <c r="V6" s="12" t="s">
        <v>576</v>
      </c>
      <c r="W6" s="12" t="s">
        <v>575</v>
      </c>
      <c r="X6" s="12" t="s">
        <v>574</v>
      </c>
      <c r="Y6" s="12" t="s">
        <v>573</v>
      </c>
      <c r="Z6" s="12" t="s">
        <v>572</v>
      </c>
      <c r="AA6" s="12" t="s">
        <v>571</v>
      </c>
      <c r="AB6" s="12" t="s">
        <v>523</v>
      </c>
      <c r="AC6" s="35" t="s">
        <v>213</v>
      </c>
      <c r="AD6" s="35" t="s">
        <v>212</v>
      </c>
      <c r="AH6" s="148"/>
      <c r="AI6" s="12" t="s">
        <v>538</v>
      </c>
      <c r="AJ6" s="135" t="s">
        <v>537</v>
      </c>
      <c r="AK6" s="137"/>
      <c r="AL6" s="12" t="s">
        <v>536</v>
      </c>
      <c r="AM6" s="12" t="s">
        <v>535</v>
      </c>
      <c r="AN6" s="135" t="s">
        <v>534</v>
      </c>
      <c r="AO6" s="137"/>
      <c r="AP6" s="135" t="s">
        <v>533</v>
      </c>
      <c r="AQ6" s="136"/>
      <c r="AR6" s="137"/>
      <c r="AS6" s="148" t="s">
        <v>154</v>
      </c>
      <c r="AT6" s="148" t="s">
        <v>521</v>
      </c>
    </row>
    <row r="7" spans="4:53" ht="45">
      <c r="D7" s="20">
        <v>28</v>
      </c>
      <c r="E7" s="21" t="s">
        <v>192</v>
      </c>
      <c r="F7" s="20">
        <v>14</v>
      </c>
      <c r="G7" s="21" t="s">
        <v>181</v>
      </c>
      <c r="H7" s="20">
        <v>1</v>
      </c>
      <c r="I7" s="21" t="s">
        <v>211</v>
      </c>
      <c r="J7" s="29">
        <v>123</v>
      </c>
      <c r="K7" s="29">
        <v>73516</v>
      </c>
      <c r="L7" s="29">
        <v>74932</v>
      </c>
      <c r="M7" s="5">
        <f>$F$27/4</f>
        <v>4.9669935873255376E-2</v>
      </c>
      <c r="N7" s="5">
        <f>O7*$G$27</f>
        <v>75581.45</v>
      </c>
      <c r="O7" s="6">
        <f t="shared" ref="O7:O23" si="0">M7*$E$32</f>
        <v>1316.75</v>
      </c>
      <c r="P7" s="6">
        <f t="shared" ref="P7:P23" si="1">O7*Q7</f>
        <v>171.17750000000001</v>
      </c>
      <c r="Q7" s="7">
        <v>0.13</v>
      </c>
      <c r="R7" s="7">
        <f t="shared" ref="R7:R23" si="2">P7/$P$24</f>
        <v>4.1456144737774189E-2</v>
      </c>
      <c r="S7" s="5">
        <f t="shared" ref="S7:S23" si="3">S$25*R7</f>
        <v>310921.08553330641</v>
      </c>
      <c r="T7" s="5">
        <f t="shared" ref="T7:X16" si="4">T$25*$R7</f>
        <v>1054644.3221289753</v>
      </c>
      <c r="U7" s="5">
        <f t="shared" si="4"/>
        <v>5737.5304317079481</v>
      </c>
      <c r="V7" s="5">
        <f t="shared" si="4"/>
        <v>194014.75737278321</v>
      </c>
      <c r="W7" s="5">
        <f t="shared" si="4"/>
        <v>78575.159290869691</v>
      </c>
      <c r="X7" s="5">
        <f t="shared" si="4"/>
        <v>13858.196955198802</v>
      </c>
      <c r="Y7" s="5">
        <f>W$43/4</f>
        <v>21499.999999999996</v>
      </c>
      <c r="Z7" s="5">
        <f>X$43/4</f>
        <v>143333.33333333331</v>
      </c>
      <c r="AA7" s="5">
        <f t="shared" ref="AA7:AA23" si="5">SUM(S7:Z7)</f>
        <v>1822584.3850461747</v>
      </c>
      <c r="AB7" s="6">
        <f t="shared" ref="AB7:AB23" si="6">AA7/1000</f>
        <v>1822.5843850461747</v>
      </c>
      <c r="AC7" s="6">
        <f t="shared" ref="AC7:AC23" si="7">AB7*0.05</f>
        <v>91.129219252308744</v>
      </c>
      <c r="AD7" s="6">
        <f t="shared" ref="AD7:AD23" si="8">AB7*0.1</f>
        <v>182.25843850461749</v>
      </c>
      <c r="AH7" s="155"/>
      <c r="AI7" s="12" t="s">
        <v>532</v>
      </c>
      <c r="AJ7" s="12" t="s">
        <v>532</v>
      </c>
      <c r="AK7" s="12" t="s">
        <v>531</v>
      </c>
      <c r="AL7" s="12" t="s">
        <v>530</v>
      </c>
      <c r="AM7" s="12" t="s">
        <v>529</v>
      </c>
      <c r="AN7" s="12" t="s">
        <v>528</v>
      </c>
      <c r="AO7" s="12" t="s">
        <v>527</v>
      </c>
      <c r="AP7" s="81" t="s">
        <v>526</v>
      </c>
      <c r="AQ7" s="81" t="s">
        <v>441</v>
      </c>
      <c r="AR7" s="81" t="s">
        <v>525</v>
      </c>
      <c r="AS7" s="155"/>
      <c r="AT7" s="155"/>
      <c r="AW7" s="12" t="s">
        <v>145</v>
      </c>
      <c r="AX7" s="12" t="s">
        <v>523</v>
      </c>
      <c r="AY7" s="12" t="s">
        <v>213</v>
      </c>
      <c r="AZ7" s="12" t="s">
        <v>212</v>
      </c>
      <c r="BA7" s="12" t="s">
        <v>522</v>
      </c>
    </row>
    <row r="8" spans="4:53">
      <c r="D8" s="20">
        <v>28</v>
      </c>
      <c r="E8" s="21" t="s">
        <v>192</v>
      </c>
      <c r="F8" s="20">
        <v>14</v>
      </c>
      <c r="G8" s="21" t="s">
        <v>181</v>
      </c>
      <c r="H8" s="20">
        <v>2</v>
      </c>
      <c r="I8" s="21" t="s">
        <v>210</v>
      </c>
      <c r="J8" s="29">
        <v>201</v>
      </c>
      <c r="K8" s="29">
        <v>393027</v>
      </c>
      <c r="L8" s="29">
        <v>399850</v>
      </c>
      <c r="M8" s="5">
        <f>$F$27/4</f>
        <v>4.9669935873255376E-2</v>
      </c>
      <c r="N8" s="5">
        <f>O8*$G$27</f>
        <v>75581.45</v>
      </c>
      <c r="O8" s="6">
        <f t="shared" si="0"/>
        <v>1316.75</v>
      </c>
      <c r="P8" s="6">
        <f t="shared" si="1"/>
        <v>237.01499999999999</v>
      </c>
      <c r="Q8" s="7">
        <v>0.18</v>
      </c>
      <c r="R8" s="7">
        <f t="shared" si="2"/>
        <v>5.7400815790764254E-2</v>
      </c>
      <c r="S8" s="5">
        <f t="shared" si="3"/>
        <v>430506.11843073188</v>
      </c>
      <c r="T8" s="5">
        <f t="shared" si="4"/>
        <v>1460276.7537170425</v>
      </c>
      <c r="U8" s="5">
        <f t="shared" si="4"/>
        <v>7944.2729054417723</v>
      </c>
      <c r="V8" s="5">
        <f t="shared" si="4"/>
        <v>268635.81790077669</v>
      </c>
      <c r="W8" s="5">
        <f t="shared" si="4"/>
        <v>108796.37440274263</v>
      </c>
      <c r="X8" s="5">
        <f t="shared" si="4"/>
        <v>19188.272707198339</v>
      </c>
      <c r="Y8" s="5">
        <f>$W$43/4</f>
        <v>21499.999999999996</v>
      </c>
      <c r="Z8" s="5">
        <f>X$43/4</f>
        <v>143333.33333333331</v>
      </c>
      <c r="AA8" s="5">
        <f t="shared" si="5"/>
        <v>2460180.9433972673</v>
      </c>
      <c r="AB8" s="6">
        <f t="shared" si="6"/>
        <v>2460.1809433972671</v>
      </c>
      <c r="AC8" s="6">
        <f t="shared" si="7"/>
        <v>123.00904716986336</v>
      </c>
      <c r="AD8" s="6">
        <f t="shared" si="8"/>
        <v>246.01809433972673</v>
      </c>
      <c r="AH8" s="11" t="s">
        <v>181</v>
      </c>
      <c r="AI8" s="10">
        <f>Q43/1000</f>
        <v>204.50704225352112</v>
      </c>
      <c r="AJ8" s="10">
        <f t="shared" ref="AJ8:AO12" si="9">S43/1000</f>
        <v>72</v>
      </c>
      <c r="AK8" s="10">
        <f t="shared" si="9"/>
        <v>14.4</v>
      </c>
      <c r="AL8" s="10">
        <f t="shared" si="9"/>
        <v>560</v>
      </c>
      <c r="AM8" s="10">
        <f t="shared" si="9"/>
        <v>40.000000000000007</v>
      </c>
      <c r="AN8" s="10">
        <f t="shared" si="9"/>
        <v>85.999999999999986</v>
      </c>
      <c r="AO8" s="10">
        <f t="shared" si="9"/>
        <v>573.33333333333326</v>
      </c>
      <c r="AP8" s="10">
        <f>SUM(S$7:S$10)/1000</f>
        <v>1482.8544079280766</v>
      </c>
      <c r="AQ8" s="10">
        <f>SUM(T$7:T$10)/1000</f>
        <v>5029.8421516920353</v>
      </c>
      <c r="AR8" s="10">
        <f>SUM(U$7:U$10)/1000</f>
        <v>27.36360667429944</v>
      </c>
      <c r="AS8" s="10">
        <f t="shared" ref="AS8:AS13" si="10">SUM(AI8:AR8)</f>
        <v>8090.3005418812654</v>
      </c>
      <c r="AT8" s="10">
        <f>(AS8/$AS$13)*100</f>
        <v>18.664267907405286</v>
      </c>
      <c r="AW8" s="11" t="s">
        <v>181</v>
      </c>
      <c r="AX8" s="10">
        <v>8090.3005418812654</v>
      </c>
      <c r="AY8" s="10">
        <f>$AX8*0.05</f>
        <v>404.51502709406327</v>
      </c>
      <c r="AZ8" s="10">
        <f>$AX8*0.1</f>
        <v>809.03005418812654</v>
      </c>
      <c r="BA8" s="10">
        <f>(AX8/$AX$13)*100</f>
        <v>18.664267907405286</v>
      </c>
    </row>
    <row r="9" spans="4:53">
      <c r="D9" s="20">
        <v>28</v>
      </c>
      <c r="E9" s="21" t="s">
        <v>192</v>
      </c>
      <c r="F9" s="20">
        <v>14</v>
      </c>
      <c r="G9" s="21" t="s">
        <v>181</v>
      </c>
      <c r="H9" s="20">
        <v>3</v>
      </c>
      <c r="I9" s="21" t="s">
        <v>209</v>
      </c>
      <c r="J9" s="29">
        <v>160</v>
      </c>
      <c r="K9" s="29">
        <v>159810</v>
      </c>
      <c r="L9" s="29">
        <v>163468</v>
      </c>
      <c r="M9" s="5">
        <f>$F$27/4</f>
        <v>4.9669935873255376E-2</v>
      </c>
      <c r="N9" s="5">
        <f>O9*$G$27</f>
        <v>75581.45</v>
      </c>
      <c r="O9" s="6">
        <f t="shared" si="0"/>
        <v>1316.75</v>
      </c>
      <c r="P9" s="6">
        <f t="shared" si="1"/>
        <v>250.1825</v>
      </c>
      <c r="Q9" s="7">
        <v>0.19</v>
      </c>
      <c r="R9" s="7">
        <f t="shared" si="2"/>
        <v>6.0589750001362269E-2</v>
      </c>
      <c r="S9" s="5">
        <f t="shared" si="3"/>
        <v>454423.12501021702</v>
      </c>
      <c r="T9" s="5">
        <f t="shared" si="4"/>
        <v>1541403.2400346561</v>
      </c>
      <c r="U9" s="5">
        <f t="shared" si="4"/>
        <v>8385.6214001885382</v>
      </c>
      <c r="V9" s="5">
        <f t="shared" si="4"/>
        <v>283560.0300063754</v>
      </c>
      <c r="W9" s="5">
        <f t="shared" si="4"/>
        <v>114840.61742511722</v>
      </c>
      <c r="X9" s="5">
        <f t="shared" si="4"/>
        <v>20254.287857598247</v>
      </c>
      <c r="Y9" s="5">
        <f>$W$43/4</f>
        <v>21499.999999999996</v>
      </c>
      <c r="Z9" s="5">
        <f>X$43/4</f>
        <v>143333.33333333331</v>
      </c>
      <c r="AA9" s="5">
        <f t="shared" si="5"/>
        <v>2587700.2550674859</v>
      </c>
      <c r="AB9" s="6">
        <f t="shared" si="6"/>
        <v>2587.7002550674861</v>
      </c>
      <c r="AC9" s="6">
        <f t="shared" si="7"/>
        <v>129.3850127533743</v>
      </c>
      <c r="AD9" s="6">
        <f t="shared" si="8"/>
        <v>258.7700255067486</v>
      </c>
      <c r="AH9" s="11" t="s">
        <v>205</v>
      </c>
      <c r="AI9" s="10">
        <f>Q44/1000</f>
        <v>79.436619718309871</v>
      </c>
      <c r="AJ9" s="10">
        <f t="shared" si="9"/>
        <v>40</v>
      </c>
      <c r="AK9" s="10">
        <f t="shared" si="9"/>
        <v>8</v>
      </c>
      <c r="AL9" s="10">
        <f t="shared" si="9"/>
        <v>720</v>
      </c>
      <c r="AM9" s="10">
        <f t="shared" si="9"/>
        <v>51.428571428571431</v>
      </c>
      <c r="AN9" s="10">
        <f t="shared" si="9"/>
        <v>90</v>
      </c>
      <c r="AO9" s="10">
        <f t="shared" si="9"/>
        <v>600</v>
      </c>
      <c r="AP9" s="10">
        <f>SUM(S$11:S$13)/1000</f>
        <v>1007.810981631085</v>
      </c>
      <c r="AQ9" s="10">
        <f>SUM(T$11:T$13)/1000</f>
        <v>3418.4948496926399</v>
      </c>
      <c r="AR9" s="10">
        <f>SUM(U$11:U$13)/1000</f>
        <v>18.597471981032285</v>
      </c>
      <c r="AS9" s="10">
        <f t="shared" si="10"/>
        <v>6033.7684944516386</v>
      </c>
      <c r="AT9" s="10">
        <f>(AS9/$AS$13)*100</f>
        <v>13.919862567370069</v>
      </c>
      <c r="AW9" s="11" t="s">
        <v>205</v>
      </c>
      <c r="AX9" s="10">
        <v>6033.7684944516386</v>
      </c>
      <c r="AY9" s="10">
        <f>$AX9*0.05</f>
        <v>301.68842472258194</v>
      </c>
      <c r="AZ9" s="10">
        <f>$AX9*0.1</f>
        <v>603.37684944516388</v>
      </c>
      <c r="BA9" s="10">
        <f>(AX9/$AX$13)*100</f>
        <v>13.919862567370069</v>
      </c>
    </row>
    <row r="10" spans="4:53">
      <c r="D10" s="20">
        <v>28</v>
      </c>
      <c r="E10" s="21" t="s">
        <v>192</v>
      </c>
      <c r="F10" s="20">
        <v>14</v>
      </c>
      <c r="G10" s="21" t="s">
        <v>181</v>
      </c>
      <c r="H10" s="20">
        <v>4</v>
      </c>
      <c r="I10" s="21" t="s">
        <v>208</v>
      </c>
      <c r="J10" s="29">
        <v>44</v>
      </c>
      <c r="K10" s="29">
        <v>71194</v>
      </c>
      <c r="L10" s="29">
        <v>73131</v>
      </c>
      <c r="M10" s="5">
        <f>$F$27/4</f>
        <v>4.9669935873255376E-2</v>
      </c>
      <c r="N10" s="5">
        <f>O10*$G$27</f>
        <v>75581.45</v>
      </c>
      <c r="O10" s="6">
        <f t="shared" si="0"/>
        <v>1316.75</v>
      </c>
      <c r="P10" s="6">
        <f t="shared" si="1"/>
        <v>158.01</v>
      </c>
      <c r="Q10" s="7">
        <v>0.12</v>
      </c>
      <c r="R10" s="7">
        <f t="shared" si="2"/>
        <v>3.8267210527176167E-2</v>
      </c>
      <c r="S10" s="5">
        <f t="shared" si="3"/>
        <v>287004.07895382127</v>
      </c>
      <c r="T10" s="5">
        <f t="shared" si="4"/>
        <v>973517.83581136167</v>
      </c>
      <c r="U10" s="5">
        <f t="shared" si="4"/>
        <v>5296.1819369611812</v>
      </c>
      <c r="V10" s="5">
        <f t="shared" si="4"/>
        <v>179090.54526718447</v>
      </c>
      <c r="W10" s="5">
        <f t="shared" si="4"/>
        <v>72530.916268495086</v>
      </c>
      <c r="X10" s="5">
        <f t="shared" si="4"/>
        <v>12792.181804798891</v>
      </c>
      <c r="Y10" s="5">
        <f>$W$43/4</f>
        <v>21499.999999999996</v>
      </c>
      <c r="Z10" s="5">
        <f>X$43/4</f>
        <v>143333.33333333331</v>
      </c>
      <c r="AA10" s="5">
        <f t="shared" si="5"/>
        <v>1695065.0733759557</v>
      </c>
      <c r="AB10" s="6">
        <f t="shared" si="6"/>
        <v>1695.0650733759558</v>
      </c>
      <c r="AC10" s="6">
        <f t="shared" si="7"/>
        <v>84.753253668797797</v>
      </c>
      <c r="AD10" s="6">
        <f t="shared" si="8"/>
        <v>169.50650733759559</v>
      </c>
      <c r="AH10" s="11" t="s">
        <v>200</v>
      </c>
      <c r="AI10" s="10">
        <f>Q45/1000</f>
        <v>410.70422535211259</v>
      </c>
      <c r="AJ10" s="10">
        <f t="shared" si="9"/>
        <v>395.99999999999994</v>
      </c>
      <c r="AK10" s="10">
        <f t="shared" si="9"/>
        <v>79.199999999999989</v>
      </c>
      <c r="AL10" s="10">
        <f t="shared" si="9"/>
        <v>2040</v>
      </c>
      <c r="AM10" s="10">
        <f t="shared" si="9"/>
        <v>145.71428571428572</v>
      </c>
      <c r="AN10" s="10">
        <f t="shared" si="9"/>
        <v>147.99999999999997</v>
      </c>
      <c r="AO10" s="10">
        <f t="shared" si="9"/>
        <v>986.66666666666663</v>
      </c>
      <c r="AP10" s="10">
        <f>SUM(S$14:S$17)/1000</f>
        <v>2445.1881120020048</v>
      </c>
      <c r="AQ10" s="10">
        <f>SUM(T$14:T$17)/1000</f>
        <v>8294.0780759108002</v>
      </c>
      <c r="AR10" s="10">
        <f>SUM(U$14:U$17)/1000</f>
        <v>45.121871293477</v>
      </c>
      <c r="AS10" s="10">
        <f t="shared" si="10"/>
        <v>14990.673236939347</v>
      </c>
      <c r="AT10" s="10">
        <f>(AS10/$AS$13)*100</f>
        <v>34.583380426748136</v>
      </c>
      <c r="AW10" s="11" t="s">
        <v>200</v>
      </c>
      <c r="AX10" s="10">
        <v>14990.673236939347</v>
      </c>
      <c r="AY10" s="10">
        <f>$AX10*0.05</f>
        <v>749.53366184696733</v>
      </c>
      <c r="AZ10" s="10">
        <f>$AX10*0.1</f>
        <v>1499.0673236939347</v>
      </c>
      <c r="BA10" s="10">
        <f>(AX10/$AX$13)*100</f>
        <v>34.583380426748136</v>
      </c>
    </row>
    <row r="11" spans="4:53">
      <c r="D11" s="20">
        <v>28</v>
      </c>
      <c r="E11" s="21" t="s">
        <v>192</v>
      </c>
      <c r="F11" s="20">
        <v>27</v>
      </c>
      <c r="G11" s="21" t="s">
        <v>205</v>
      </c>
      <c r="H11" s="20">
        <v>1</v>
      </c>
      <c r="I11" s="21" t="s">
        <v>207</v>
      </c>
      <c r="J11" s="29">
        <v>185</v>
      </c>
      <c r="K11" s="29">
        <v>235416</v>
      </c>
      <c r="L11" s="29">
        <v>240268</v>
      </c>
      <c r="M11" s="5">
        <f>$F$28/3</f>
        <v>4.6510750660128254E-2</v>
      </c>
      <c r="N11" s="5">
        <f>O11*$G$28</f>
        <v>92598.299999999988</v>
      </c>
      <c r="O11" s="6">
        <f t="shared" si="0"/>
        <v>1233</v>
      </c>
      <c r="P11" s="6">
        <f t="shared" si="1"/>
        <v>221.94</v>
      </c>
      <c r="Q11" s="7">
        <v>0.18</v>
      </c>
      <c r="R11" s="7">
        <f t="shared" si="2"/>
        <v>5.3749919020324534E-2</v>
      </c>
      <c r="S11" s="5">
        <f t="shared" si="3"/>
        <v>403124.39265243401</v>
      </c>
      <c r="T11" s="5">
        <f t="shared" si="4"/>
        <v>1367397.9398770561</v>
      </c>
      <c r="U11" s="5">
        <f t="shared" si="4"/>
        <v>7438.9887924129152</v>
      </c>
      <c r="V11" s="5">
        <f t="shared" si="4"/>
        <v>251549.62101511881</v>
      </c>
      <c r="W11" s="5">
        <f t="shared" si="4"/>
        <v>101876.53665356497</v>
      </c>
      <c r="X11" s="5">
        <f t="shared" si="4"/>
        <v>17967.830072508488</v>
      </c>
      <c r="Y11" s="5">
        <f t="shared" ref="Y11:Z13" si="11">W$44/3</f>
        <v>30000</v>
      </c>
      <c r="Z11" s="5">
        <f t="shared" si="11"/>
        <v>200000</v>
      </c>
      <c r="AA11" s="5">
        <f t="shared" si="5"/>
        <v>2379355.3090630956</v>
      </c>
      <c r="AB11" s="6">
        <f t="shared" si="6"/>
        <v>2379.3553090630958</v>
      </c>
      <c r="AC11" s="6">
        <f t="shared" si="7"/>
        <v>118.9677654531548</v>
      </c>
      <c r="AD11" s="6">
        <f t="shared" si="8"/>
        <v>237.93553090630959</v>
      </c>
      <c r="AH11" s="11" t="s">
        <v>272</v>
      </c>
      <c r="AI11" s="10">
        <f>Q46/1000</f>
        <v>285.63380281690138</v>
      </c>
      <c r="AJ11" s="10">
        <f t="shared" si="9"/>
        <v>108</v>
      </c>
      <c r="AK11" s="10">
        <f t="shared" si="9"/>
        <v>21.6</v>
      </c>
      <c r="AL11" s="10">
        <f t="shared" si="9"/>
        <v>1080</v>
      </c>
      <c r="AM11" s="10">
        <f t="shared" si="9"/>
        <v>77.142857142857139</v>
      </c>
      <c r="AN11" s="10">
        <f t="shared" si="9"/>
        <v>18</v>
      </c>
      <c r="AO11" s="10">
        <f t="shared" si="9"/>
        <v>120</v>
      </c>
      <c r="AP11" s="10">
        <f>SUM(S$18:S$20)/1000</f>
        <v>1112.869623025231</v>
      </c>
      <c r="AQ11" s="10">
        <f>SUM(T$18:T$20)/1000</f>
        <v>3774.8537613015837</v>
      </c>
      <c r="AR11" s="10">
        <f>SUM(U$18:U$20)/1000</f>
        <v>20.536154110225596</v>
      </c>
      <c r="AS11" s="10">
        <f t="shared" si="10"/>
        <v>6618.636198396799</v>
      </c>
      <c r="AT11" s="10">
        <f>(AS11/$AS$13)*100</f>
        <v>15.26914835228148</v>
      </c>
      <c r="AW11" s="11" t="s">
        <v>272</v>
      </c>
      <c r="AX11" s="10">
        <v>6618.636198396799</v>
      </c>
      <c r="AY11" s="10">
        <f>$AX11*0.05</f>
        <v>330.93180991983996</v>
      </c>
      <c r="AZ11" s="10">
        <f>$AX11*0.1</f>
        <v>661.86361983967993</v>
      </c>
      <c r="BA11" s="10">
        <f>(AX11/$AX$13)*100</f>
        <v>15.26914835228148</v>
      </c>
    </row>
    <row r="12" spans="4:53">
      <c r="D12" s="20">
        <v>28</v>
      </c>
      <c r="E12" s="21" t="s">
        <v>192</v>
      </c>
      <c r="F12" s="20">
        <v>27</v>
      </c>
      <c r="G12" s="21" t="s">
        <v>205</v>
      </c>
      <c r="H12" s="20">
        <v>2</v>
      </c>
      <c r="I12" s="21" t="s">
        <v>206</v>
      </c>
      <c r="J12" s="29">
        <v>297</v>
      </c>
      <c r="K12" s="29">
        <v>225807</v>
      </c>
      <c r="L12" s="29">
        <v>230922</v>
      </c>
      <c r="M12" s="5">
        <f>$F$28/3</f>
        <v>4.6510750660128254E-2</v>
      </c>
      <c r="N12" s="5">
        <f>O12*$G$28</f>
        <v>92598.299999999988</v>
      </c>
      <c r="O12" s="6">
        <f t="shared" si="0"/>
        <v>1233</v>
      </c>
      <c r="P12" s="6">
        <f t="shared" si="1"/>
        <v>184.95</v>
      </c>
      <c r="Q12" s="7">
        <v>0.15</v>
      </c>
      <c r="R12" s="7">
        <f t="shared" si="2"/>
        <v>4.4791599183603772E-2</v>
      </c>
      <c r="S12" s="5">
        <f t="shared" si="3"/>
        <v>335936.99387702829</v>
      </c>
      <c r="T12" s="5">
        <f t="shared" si="4"/>
        <v>1139498.28323088</v>
      </c>
      <c r="U12" s="5">
        <f t="shared" si="4"/>
        <v>6199.1573270107619</v>
      </c>
      <c r="V12" s="5">
        <f t="shared" si="4"/>
        <v>209624.68417926566</v>
      </c>
      <c r="W12" s="5">
        <f t="shared" si="4"/>
        <v>84897.113877970798</v>
      </c>
      <c r="X12" s="5">
        <f t="shared" si="4"/>
        <v>14973.191727090405</v>
      </c>
      <c r="Y12" s="5">
        <f t="shared" si="11"/>
        <v>30000</v>
      </c>
      <c r="Z12" s="5">
        <f t="shared" si="11"/>
        <v>200000</v>
      </c>
      <c r="AA12" s="5">
        <f t="shared" si="5"/>
        <v>2021129.424219246</v>
      </c>
      <c r="AB12" s="6">
        <f t="shared" si="6"/>
        <v>2021.1294242192459</v>
      </c>
      <c r="AC12" s="6">
        <f t="shared" si="7"/>
        <v>101.0564712109623</v>
      </c>
      <c r="AD12" s="6">
        <f t="shared" si="8"/>
        <v>202.1129424219246</v>
      </c>
      <c r="AH12" s="11" t="s">
        <v>271</v>
      </c>
      <c r="AI12" s="10">
        <f>Q47/1000</f>
        <v>223.09859154929578</v>
      </c>
      <c r="AJ12" s="10">
        <f t="shared" si="9"/>
        <v>76</v>
      </c>
      <c r="AK12" s="10">
        <f t="shared" si="9"/>
        <v>15.2</v>
      </c>
      <c r="AL12" s="10">
        <f t="shared" si="9"/>
        <v>280</v>
      </c>
      <c r="AM12" s="10">
        <f t="shared" si="9"/>
        <v>20.000000000000004</v>
      </c>
      <c r="AN12" s="10">
        <f t="shared" si="9"/>
        <v>78.000000000000014</v>
      </c>
      <c r="AO12" s="10">
        <f t="shared" si="9"/>
        <v>520.00000000000011</v>
      </c>
      <c r="AP12" s="10">
        <f>SUM(S$21:S$23)/1000</f>
        <v>1451.2768754136018</v>
      </c>
      <c r="AQ12" s="10">
        <f>SUM(T$21:T$23)/1000</f>
        <v>4922.7311614029368</v>
      </c>
      <c r="AR12" s="10">
        <f>SUM(U$21:U$23)/1000</f>
        <v>26.780895940965667</v>
      </c>
      <c r="AS12" s="10">
        <f t="shared" si="10"/>
        <v>7613.0875243068003</v>
      </c>
      <c r="AT12" s="10">
        <f>(AS12/$AS$13)*100</f>
        <v>17.563340746195031</v>
      </c>
      <c r="AW12" s="11" t="s">
        <v>271</v>
      </c>
      <c r="AX12" s="10">
        <v>7613.0875243068003</v>
      </c>
      <c r="AY12" s="10">
        <f>$AX12*0.05</f>
        <v>380.65437621534005</v>
      </c>
      <c r="AZ12" s="10">
        <f>$AX12*0.1</f>
        <v>761.3087524306801</v>
      </c>
      <c r="BA12" s="10">
        <f>(AX12/$AX$13)*100</f>
        <v>17.563340746195031</v>
      </c>
    </row>
    <row r="13" spans="4:53">
      <c r="D13" s="20">
        <v>28</v>
      </c>
      <c r="E13" s="21" t="s">
        <v>192</v>
      </c>
      <c r="F13" s="20">
        <v>27</v>
      </c>
      <c r="G13" s="21" t="s">
        <v>205</v>
      </c>
      <c r="H13" s="20">
        <v>3</v>
      </c>
      <c r="I13" s="21" t="s">
        <v>204</v>
      </c>
      <c r="J13" s="29">
        <v>103</v>
      </c>
      <c r="K13" s="29">
        <v>138445</v>
      </c>
      <c r="L13" s="29">
        <v>141576</v>
      </c>
      <c r="M13" s="5">
        <f>$F$28/3</f>
        <v>4.6510750660128254E-2</v>
      </c>
      <c r="N13" s="5">
        <f>O13*$G$28</f>
        <v>92598.299999999988</v>
      </c>
      <c r="O13" s="6">
        <f t="shared" si="0"/>
        <v>1233</v>
      </c>
      <c r="P13" s="6">
        <f t="shared" si="1"/>
        <v>147.96</v>
      </c>
      <c r="Q13" s="7">
        <v>0.12</v>
      </c>
      <c r="R13" s="7">
        <f t="shared" si="2"/>
        <v>3.5833279346883025E-2</v>
      </c>
      <c r="S13" s="5">
        <f t="shared" si="3"/>
        <v>268749.59510162269</v>
      </c>
      <c r="T13" s="5">
        <f t="shared" si="4"/>
        <v>911598.62658470415</v>
      </c>
      <c r="U13" s="5">
        <f t="shared" si="4"/>
        <v>4959.3258616086105</v>
      </c>
      <c r="V13" s="5">
        <f t="shared" si="4"/>
        <v>167699.74734341254</v>
      </c>
      <c r="W13" s="5">
        <f t="shared" si="4"/>
        <v>67917.691102376644</v>
      </c>
      <c r="X13" s="5">
        <f t="shared" si="4"/>
        <v>11978.553381672327</v>
      </c>
      <c r="Y13" s="5">
        <f t="shared" si="11"/>
        <v>30000</v>
      </c>
      <c r="Z13" s="5">
        <f t="shared" si="11"/>
        <v>200000</v>
      </c>
      <c r="AA13" s="5">
        <f t="shared" si="5"/>
        <v>1662903.5393753971</v>
      </c>
      <c r="AB13" s="6">
        <f t="shared" si="6"/>
        <v>1662.903539375397</v>
      </c>
      <c r="AC13" s="6">
        <f t="shared" si="7"/>
        <v>83.14517696876986</v>
      </c>
      <c r="AD13" s="6">
        <f t="shared" si="8"/>
        <v>166.29035393753972</v>
      </c>
      <c r="AH13" s="9" t="s">
        <v>230</v>
      </c>
      <c r="AI13" s="8">
        <f t="shared" ref="AI13:AR13" si="12">SUM(AI8:AI12)</f>
        <v>1203.3802816901407</v>
      </c>
      <c r="AJ13" s="8">
        <f t="shared" si="12"/>
        <v>692</v>
      </c>
      <c r="AK13" s="8">
        <f t="shared" si="12"/>
        <v>138.39999999999998</v>
      </c>
      <c r="AL13" s="8">
        <f t="shared" si="12"/>
        <v>4680</v>
      </c>
      <c r="AM13" s="8">
        <f t="shared" si="12"/>
        <v>334.28571428571433</v>
      </c>
      <c r="AN13" s="8">
        <f t="shared" si="12"/>
        <v>420</v>
      </c>
      <c r="AO13" s="8">
        <f t="shared" si="12"/>
        <v>2800</v>
      </c>
      <c r="AP13" s="8">
        <f t="shared" si="12"/>
        <v>7500</v>
      </c>
      <c r="AQ13" s="8">
        <f t="shared" si="12"/>
        <v>25439.999999999993</v>
      </c>
      <c r="AR13" s="8">
        <f t="shared" si="12"/>
        <v>138.4</v>
      </c>
      <c r="AS13" s="8">
        <f t="shared" si="10"/>
        <v>43346.46599597585</v>
      </c>
      <c r="AT13" s="10">
        <f>SUM(AT8:AT12)</f>
        <v>100</v>
      </c>
      <c r="AW13" s="9" t="s">
        <v>230</v>
      </c>
      <c r="AX13" s="10">
        <v>43346.46599597585</v>
      </c>
      <c r="AY13" s="10">
        <f>SUM(AY8:AY12)</f>
        <v>2167.3232997987925</v>
      </c>
      <c r="AZ13" s="10">
        <f>SUM(AZ8:AZ12)</f>
        <v>4334.646599597585</v>
      </c>
      <c r="BA13" s="10">
        <f>SUM(BA8:BA12)</f>
        <v>100</v>
      </c>
    </row>
    <row r="14" spans="4:53">
      <c r="D14" s="20">
        <v>28</v>
      </c>
      <c r="E14" s="21" t="s">
        <v>192</v>
      </c>
      <c r="F14" s="20">
        <v>50</v>
      </c>
      <c r="G14" s="21" t="s">
        <v>200</v>
      </c>
      <c r="H14" s="20">
        <v>1</v>
      </c>
      <c r="I14" s="21" t="s">
        <v>203</v>
      </c>
      <c r="J14" s="29">
        <v>134</v>
      </c>
      <c r="K14" s="29">
        <v>134398</v>
      </c>
      <c r="L14" s="29">
        <v>138960</v>
      </c>
      <c r="M14" s="5">
        <f>$F$29/4</f>
        <v>7.5792153904187101E-2</v>
      </c>
      <c r="N14" s="5">
        <f>O14*$G$29</f>
        <v>75748.725000000006</v>
      </c>
      <c r="O14" s="6">
        <f t="shared" si="0"/>
        <v>2009.25</v>
      </c>
      <c r="P14" s="6">
        <f t="shared" si="1"/>
        <v>241.10999999999999</v>
      </c>
      <c r="Q14" s="7">
        <v>0.12</v>
      </c>
      <c r="R14" s="7">
        <f t="shared" si="2"/>
        <v>5.8392551928406089E-2</v>
      </c>
      <c r="S14" s="5">
        <f t="shared" si="3"/>
        <v>437944.13946304569</v>
      </c>
      <c r="T14" s="5">
        <f t="shared" si="4"/>
        <v>1485506.5210586509</v>
      </c>
      <c r="U14" s="5">
        <f t="shared" si="4"/>
        <v>8081.5291868914028</v>
      </c>
      <c r="V14" s="5">
        <f t="shared" si="4"/>
        <v>273277.14302494051</v>
      </c>
      <c r="W14" s="5">
        <f t="shared" si="4"/>
        <v>110676.0915226685</v>
      </c>
      <c r="X14" s="5">
        <f t="shared" si="4"/>
        <v>19519.795930352895</v>
      </c>
      <c r="Y14" s="5">
        <f t="shared" ref="Y14:Z17" si="13">W$45/4</f>
        <v>36999.999999999993</v>
      </c>
      <c r="Z14" s="5">
        <f t="shared" si="13"/>
        <v>246666.66666666666</v>
      </c>
      <c r="AA14" s="5">
        <f t="shared" si="5"/>
        <v>2618671.8868532167</v>
      </c>
      <c r="AB14" s="6">
        <f t="shared" si="6"/>
        <v>2618.6718868532166</v>
      </c>
      <c r="AC14" s="6">
        <f t="shared" si="7"/>
        <v>130.93359434266083</v>
      </c>
      <c r="AD14" s="6">
        <f t="shared" si="8"/>
        <v>261.86718868532165</v>
      </c>
      <c r="AH14" s="11" t="s">
        <v>521</v>
      </c>
      <c r="AI14" s="10">
        <f t="shared" ref="AI14:AR14" si="14">(AI13/$AS$13)*100</f>
        <v>2.7761900631111627</v>
      </c>
      <c r="AJ14" s="10">
        <f t="shared" si="14"/>
        <v>1.5964392577338209</v>
      </c>
      <c r="AK14" s="16">
        <f t="shared" si="14"/>
        <v>0.31928785154676415</v>
      </c>
      <c r="AL14" s="10">
        <f t="shared" si="14"/>
        <v>10.796727928026421</v>
      </c>
      <c r="AM14" s="10">
        <f t="shared" si="14"/>
        <v>0.7711948520018872</v>
      </c>
      <c r="AN14" s="10">
        <f t="shared" si="14"/>
        <v>0.96893712174596081</v>
      </c>
      <c r="AO14" s="10">
        <f t="shared" si="14"/>
        <v>6.4595808116397384</v>
      </c>
      <c r="AP14" s="10">
        <f t="shared" si="14"/>
        <v>17.302448602606439</v>
      </c>
      <c r="AQ14" s="10">
        <f t="shared" si="14"/>
        <v>58.689905660041028</v>
      </c>
      <c r="AR14" s="16">
        <f t="shared" si="14"/>
        <v>0.3192878515467642</v>
      </c>
      <c r="AS14" s="39"/>
      <c r="AT14" s="80"/>
      <c r="AW14" s="79" t="s">
        <v>521</v>
      </c>
    </row>
    <row r="15" spans="4:53">
      <c r="D15" s="20">
        <v>28</v>
      </c>
      <c r="E15" s="21" t="s">
        <v>192</v>
      </c>
      <c r="F15" s="20">
        <v>50</v>
      </c>
      <c r="G15" s="21" t="s">
        <v>200</v>
      </c>
      <c r="H15" s="20">
        <v>2</v>
      </c>
      <c r="I15" s="21" t="s">
        <v>202</v>
      </c>
      <c r="J15" s="29">
        <v>144</v>
      </c>
      <c r="K15" s="29">
        <v>186773</v>
      </c>
      <c r="L15" s="29">
        <v>191708</v>
      </c>
      <c r="M15" s="5">
        <f>$F$29/4</f>
        <v>7.5792153904187101E-2</v>
      </c>
      <c r="N15" s="5">
        <f>O15*$G$29</f>
        <v>75748.725000000006</v>
      </c>
      <c r="O15" s="6">
        <f t="shared" si="0"/>
        <v>2009.25</v>
      </c>
      <c r="P15" s="6">
        <f t="shared" si="1"/>
        <v>502.3125</v>
      </c>
      <c r="Q15" s="82">
        <v>0.25</v>
      </c>
      <c r="R15" s="7">
        <f t="shared" si="2"/>
        <v>0.12165114985084602</v>
      </c>
      <c r="S15" s="5">
        <f t="shared" si="3"/>
        <v>912383.62388134515</v>
      </c>
      <c r="T15" s="5">
        <f t="shared" si="4"/>
        <v>3094805.2522055227</v>
      </c>
      <c r="U15" s="5">
        <f t="shared" si="4"/>
        <v>16836.519139357089</v>
      </c>
      <c r="V15" s="5">
        <f t="shared" si="4"/>
        <v>569327.38130195939</v>
      </c>
      <c r="W15" s="5">
        <f t="shared" si="4"/>
        <v>230575.19067222605</v>
      </c>
      <c r="X15" s="5">
        <f t="shared" si="4"/>
        <v>40666.241521568532</v>
      </c>
      <c r="Y15" s="5">
        <f t="shared" si="13"/>
        <v>36999.999999999993</v>
      </c>
      <c r="Z15" s="5">
        <f t="shared" si="13"/>
        <v>246666.66666666666</v>
      </c>
      <c r="AA15" s="5">
        <f t="shared" si="5"/>
        <v>5148260.8753886465</v>
      </c>
      <c r="AB15" s="6">
        <f t="shared" si="6"/>
        <v>5148.2608753886461</v>
      </c>
      <c r="AC15" s="6">
        <f t="shared" si="7"/>
        <v>257.41304376943231</v>
      </c>
      <c r="AD15" s="6">
        <f t="shared" si="8"/>
        <v>514.82608753886461</v>
      </c>
      <c r="AH15" s="5" t="s">
        <v>524</v>
      </c>
    </row>
    <row r="16" spans="4:53">
      <c r="D16" s="20">
        <v>28</v>
      </c>
      <c r="E16" s="21" t="s">
        <v>192</v>
      </c>
      <c r="F16" s="20">
        <v>50</v>
      </c>
      <c r="G16" s="21" t="s">
        <v>200</v>
      </c>
      <c r="H16" s="20">
        <v>3</v>
      </c>
      <c r="I16" s="21" t="s">
        <v>201</v>
      </c>
      <c r="J16" s="29">
        <v>81</v>
      </c>
      <c r="K16" s="29">
        <v>70274</v>
      </c>
      <c r="L16" s="29">
        <v>72885</v>
      </c>
      <c r="M16" s="5">
        <f>$F$29/4</f>
        <v>7.5792153904187101E-2</v>
      </c>
      <c r="N16" s="5">
        <f>O16*$G$29</f>
        <v>75748.725000000006</v>
      </c>
      <c r="O16" s="6">
        <f t="shared" si="0"/>
        <v>2009.25</v>
      </c>
      <c r="P16" s="6">
        <f t="shared" si="1"/>
        <v>361.66499999999996</v>
      </c>
      <c r="Q16" s="7">
        <v>0.18</v>
      </c>
      <c r="R16" s="7">
        <f t="shared" si="2"/>
        <v>8.7588827892609133E-2</v>
      </c>
      <c r="S16" s="5">
        <f t="shared" si="3"/>
        <v>656916.20919456845</v>
      </c>
      <c r="T16" s="5">
        <f t="shared" si="4"/>
        <v>2228259.7815879765</v>
      </c>
      <c r="U16" s="5">
        <f t="shared" si="4"/>
        <v>12122.293780337104</v>
      </c>
      <c r="V16" s="5">
        <f t="shared" si="4"/>
        <v>409915.71453741076</v>
      </c>
      <c r="W16" s="5">
        <f t="shared" si="4"/>
        <v>166014.13728400276</v>
      </c>
      <c r="X16" s="5">
        <f t="shared" si="4"/>
        <v>29279.693895529341</v>
      </c>
      <c r="Y16" s="5">
        <f t="shared" si="13"/>
        <v>36999.999999999993</v>
      </c>
      <c r="Z16" s="5">
        <f t="shared" si="13"/>
        <v>246666.66666666666</v>
      </c>
      <c r="AA16" s="5">
        <f t="shared" si="5"/>
        <v>3786174.4969464918</v>
      </c>
      <c r="AB16" s="6">
        <f t="shared" si="6"/>
        <v>3786.1744969464917</v>
      </c>
      <c r="AC16" s="6">
        <f t="shared" si="7"/>
        <v>189.30872484732458</v>
      </c>
      <c r="AD16" s="6">
        <f t="shared" si="8"/>
        <v>378.61744969464917</v>
      </c>
    </row>
    <row r="17" spans="4:30">
      <c r="D17" s="20">
        <v>28</v>
      </c>
      <c r="E17" s="21" t="s">
        <v>192</v>
      </c>
      <c r="F17" s="20">
        <v>50</v>
      </c>
      <c r="G17" s="21" t="s">
        <v>200</v>
      </c>
      <c r="H17" s="20">
        <v>4</v>
      </c>
      <c r="I17" s="21" t="s">
        <v>199</v>
      </c>
      <c r="J17" s="29">
        <v>87</v>
      </c>
      <c r="K17" s="29">
        <v>103648</v>
      </c>
      <c r="L17" s="29">
        <v>106953</v>
      </c>
      <c r="M17" s="5">
        <f>$F$29/4</f>
        <v>7.5792153904187101E-2</v>
      </c>
      <c r="N17" s="5">
        <f>O17*$G$29</f>
        <v>75748.725000000006</v>
      </c>
      <c r="O17" s="6">
        <f t="shared" si="0"/>
        <v>2009.25</v>
      </c>
      <c r="P17" s="6">
        <f t="shared" si="1"/>
        <v>241.10999999999999</v>
      </c>
      <c r="Q17" s="7">
        <v>0.12</v>
      </c>
      <c r="R17" s="7">
        <f t="shared" si="2"/>
        <v>5.8392551928406089E-2</v>
      </c>
      <c r="S17" s="5">
        <f t="shared" si="3"/>
        <v>437944.13946304569</v>
      </c>
      <c r="T17" s="5">
        <f t="shared" ref="T17:X23" si="15">T$25*$R17</f>
        <v>1485506.5210586509</v>
      </c>
      <c r="U17" s="5">
        <f t="shared" si="15"/>
        <v>8081.5291868914028</v>
      </c>
      <c r="V17" s="5">
        <f t="shared" si="15"/>
        <v>273277.14302494051</v>
      </c>
      <c r="W17" s="5">
        <f t="shared" si="15"/>
        <v>110676.0915226685</v>
      </c>
      <c r="X17" s="5">
        <f t="shared" si="15"/>
        <v>19519.795930352895</v>
      </c>
      <c r="Y17" s="5">
        <f t="shared" si="13"/>
        <v>36999.999999999993</v>
      </c>
      <c r="Z17" s="5">
        <f t="shared" si="13"/>
        <v>246666.66666666666</v>
      </c>
      <c r="AA17" s="5">
        <f t="shared" si="5"/>
        <v>2618671.8868532167</v>
      </c>
      <c r="AB17" s="6">
        <f t="shared" si="6"/>
        <v>2618.6718868532166</v>
      </c>
      <c r="AC17" s="6">
        <f t="shared" si="7"/>
        <v>130.93359434266083</v>
      </c>
      <c r="AD17" s="6">
        <f t="shared" si="8"/>
        <v>261.86718868532165</v>
      </c>
    </row>
    <row r="18" spans="4:30">
      <c r="D18" s="20">
        <v>28</v>
      </c>
      <c r="E18" s="21" t="s">
        <v>192</v>
      </c>
      <c r="F18" s="20">
        <v>61</v>
      </c>
      <c r="G18" s="21" t="s">
        <v>196</v>
      </c>
      <c r="H18" s="20">
        <v>1</v>
      </c>
      <c r="I18" s="21" t="s">
        <v>198</v>
      </c>
      <c r="J18" s="29">
        <v>111</v>
      </c>
      <c r="K18" s="29">
        <v>85380</v>
      </c>
      <c r="L18" s="29">
        <v>87795</v>
      </c>
      <c r="M18" s="5">
        <f>$F$30/3</f>
        <v>5.926065635609204E-2</v>
      </c>
      <c r="N18" s="5">
        <f>O18*$G$30</f>
        <v>105414.09999999999</v>
      </c>
      <c r="O18" s="6">
        <f t="shared" si="0"/>
        <v>1571</v>
      </c>
      <c r="P18" s="6">
        <f t="shared" si="1"/>
        <v>188.51999999999998</v>
      </c>
      <c r="Q18" s="7">
        <v>0.12</v>
      </c>
      <c r="R18" s="7">
        <f t="shared" si="2"/>
        <v>4.5656189662573579E-2</v>
      </c>
      <c r="S18" s="5">
        <f t="shared" si="3"/>
        <v>342421.42246930185</v>
      </c>
      <c r="T18" s="5">
        <f t="shared" si="15"/>
        <v>1161493.4650158719</v>
      </c>
      <c r="U18" s="5">
        <f t="shared" si="15"/>
        <v>6318.8166493001836</v>
      </c>
      <c r="V18" s="5">
        <f t="shared" si="15"/>
        <v>213670.96762084434</v>
      </c>
      <c r="W18" s="5">
        <f t="shared" si="15"/>
        <v>86535.841623547196</v>
      </c>
      <c r="X18" s="5">
        <f t="shared" si="15"/>
        <v>15262.211972917456</v>
      </c>
      <c r="Y18" s="5">
        <f t="shared" ref="Y18:Z20" si="16">W$46/3</f>
        <v>6000</v>
      </c>
      <c r="Z18" s="5">
        <f t="shared" si="16"/>
        <v>40000</v>
      </c>
      <c r="AA18" s="5">
        <f t="shared" si="5"/>
        <v>1871702.725351783</v>
      </c>
      <c r="AB18" s="6">
        <f t="shared" si="6"/>
        <v>1871.7027253517829</v>
      </c>
      <c r="AC18" s="6">
        <f t="shared" si="7"/>
        <v>93.585136267589149</v>
      </c>
      <c r="AD18" s="6">
        <f t="shared" si="8"/>
        <v>187.1702725351783</v>
      </c>
    </row>
    <row r="19" spans="4:30">
      <c r="D19" s="20">
        <v>28</v>
      </c>
      <c r="E19" s="21" t="s">
        <v>192</v>
      </c>
      <c r="F19" s="20">
        <v>61</v>
      </c>
      <c r="G19" s="21" t="s">
        <v>196</v>
      </c>
      <c r="H19" s="20">
        <v>2</v>
      </c>
      <c r="I19" s="21" t="s">
        <v>197</v>
      </c>
      <c r="J19" s="29">
        <v>123</v>
      </c>
      <c r="K19" s="29">
        <v>108122</v>
      </c>
      <c r="L19" s="29">
        <v>111212</v>
      </c>
      <c r="M19" s="5">
        <f>$F$30/3</f>
        <v>5.926065635609204E-2</v>
      </c>
      <c r="N19" s="5">
        <f>O19*$G$30</f>
        <v>105414.09999999999</v>
      </c>
      <c r="O19" s="6">
        <f t="shared" si="0"/>
        <v>1571</v>
      </c>
      <c r="P19" s="6">
        <f t="shared" si="1"/>
        <v>188.51999999999998</v>
      </c>
      <c r="Q19" s="7">
        <v>0.12</v>
      </c>
      <c r="R19" s="7">
        <f t="shared" si="2"/>
        <v>4.5656189662573579E-2</v>
      </c>
      <c r="S19" s="5">
        <f t="shared" si="3"/>
        <v>342421.42246930185</v>
      </c>
      <c r="T19" s="5">
        <f t="shared" si="15"/>
        <v>1161493.4650158719</v>
      </c>
      <c r="U19" s="5">
        <f t="shared" si="15"/>
        <v>6318.8166493001836</v>
      </c>
      <c r="V19" s="5">
        <f t="shared" si="15"/>
        <v>213670.96762084434</v>
      </c>
      <c r="W19" s="5">
        <f t="shared" si="15"/>
        <v>86535.841623547196</v>
      </c>
      <c r="X19" s="5">
        <f t="shared" si="15"/>
        <v>15262.211972917456</v>
      </c>
      <c r="Y19" s="5">
        <f t="shared" si="16"/>
        <v>6000</v>
      </c>
      <c r="Z19" s="5">
        <f t="shared" si="16"/>
        <v>40000</v>
      </c>
      <c r="AA19" s="5">
        <f t="shared" si="5"/>
        <v>1871702.725351783</v>
      </c>
      <c r="AB19" s="6">
        <f t="shared" si="6"/>
        <v>1871.7027253517829</v>
      </c>
      <c r="AC19" s="6">
        <f t="shared" si="7"/>
        <v>93.585136267589149</v>
      </c>
      <c r="AD19" s="6">
        <f t="shared" si="8"/>
        <v>187.1702725351783</v>
      </c>
    </row>
    <row r="20" spans="4:30" ht="25.5">
      <c r="D20" s="20">
        <v>28</v>
      </c>
      <c r="E20" s="21" t="s">
        <v>192</v>
      </c>
      <c r="F20" s="20">
        <v>61</v>
      </c>
      <c r="G20" s="21" t="s">
        <v>196</v>
      </c>
      <c r="H20" s="20">
        <v>3</v>
      </c>
      <c r="I20" s="21" t="s">
        <v>195</v>
      </c>
      <c r="J20" s="29">
        <v>151</v>
      </c>
      <c r="K20" s="29">
        <v>84973</v>
      </c>
      <c r="L20" s="29">
        <v>87272</v>
      </c>
      <c r="M20" s="5">
        <f>$F$30/3</f>
        <v>5.926065635609204E-2</v>
      </c>
      <c r="N20" s="5">
        <f>O20*$G$30</f>
        <v>105414.09999999999</v>
      </c>
      <c r="O20" s="6">
        <f t="shared" si="0"/>
        <v>1571</v>
      </c>
      <c r="P20" s="6">
        <f t="shared" si="1"/>
        <v>235.64999999999998</v>
      </c>
      <c r="Q20" s="7">
        <v>0.15</v>
      </c>
      <c r="R20" s="7">
        <f t="shared" si="2"/>
        <v>5.707023707821697E-2</v>
      </c>
      <c r="S20" s="5">
        <f t="shared" si="3"/>
        <v>428026.77808662725</v>
      </c>
      <c r="T20" s="5">
        <f t="shared" si="15"/>
        <v>1451866.8312698398</v>
      </c>
      <c r="U20" s="5">
        <f t="shared" si="15"/>
        <v>7898.5208116252288</v>
      </c>
      <c r="V20" s="5">
        <f t="shared" si="15"/>
        <v>267088.70952605543</v>
      </c>
      <c r="W20" s="5">
        <f t="shared" si="15"/>
        <v>108169.80202943399</v>
      </c>
      <c r="X20" s="5">
        <f t="shared" si="15"/>
        <v>19077.764966146817</v>
      </c>
      <c r="Y20" s="5">
        <f t="shared" si="16"/>
        <v>6000</v>
      </c>
      <c r="Z20" s="5">
        <f t="shared" si="16"/>
        <v>40000</v>
      </c>
      <c r="AA20" s="5">
        <f t="shared" si="5"/>
        <v>2328128.4066897291</v>
      </c>
      <c r="AB20" s="6">
        <f t="shared" si="6"/>
        <v>2328.1284066897292</v>
      </c>
      <c r="AC20" s="6">
        <f t="shared" si="7"/>
        <v>116.40642033448647</v>
      </c>
      <c r="AD20" s="6">
        <f t="shared" si="8"/>
        <v>232.81284066897294</v>
      </c>
    </row>
    <row r="21" spans="4:30" ht="25.5">
      <c r="D21" s="20">
        <v>28</v>
      </c>
      <c r="E21" s="21" t="s">
        <v>192</v>
      </c>
      <c r="F21" s="20">
        <v>76</v>
      </c>
      <c r="G21" s="21" t="s">
        <v>191</v>
      </c>
      <c r="H21" s="20">
        <v>1</v>
      </c>
      <c r="I21" s="21" t="s">
        <v>194</v>
      </c>
      <c r="J21" s="29">
        <v>343</v>
      </c>
      <c r="K21" s="29">
        <v>232723</v>
      </c>
      <c r="L21" s="29">
        <v>238071</v>
      </c>
      <c r="M21" s="5">
        <f>$F$31/3</f>
        <v>6.0279139947189746E-2</v>
      </c>
      <c r="N21" s="5">
        <f>O21*$G$31</f>
        <v>98117.200000000012</v>
      </c>
      <c r="O21" s="6">
        <f t="shared" si="0"/>
        <v>1598.0000000000002</v>
      </c>
      <c r="P21" s="6">
        <f t="shared" si="1"/>
        <v>223.72000000000006</v>
      </c>
      <c r="Q21" s="7">
        <v>0.14000000000000001</v>
      </c>
      <c r="R21" s="7">
        <f t="shared" si="2"/>
        <v>5.4181003348774473E-2</v>
      </c>
      <c r="S21" s="5">
        <f t="shared" si="3"/>
        <v>406357.52511580853</v>
      </c>
      <c r="T21" s="5">
        <f t="shared" si="15"/>
        <v>1378364.7251928225</v>
      </c>
      <c r="U21" s="5">
        <f t="shared" si="15"/>
        <v>7498.6508634703869</v>
      </c>
      <c r="V21" s="5">
        <f t="shared" si="15"/>
        <v>253567.09567226452</v>
      </c>
      <c r="W21" s="5">
        <f t="shared" si="15"/>
        <v>102693.60538945462</v>
      </c>
      <c r="X21" s="5">
        <f t="shared" si="15"/>
        <v>18111.935405161756</v>
      </c>
      <c r="Y21" s="5">
        <f t="shared" ref="Y21:Z23" si="17">W$47/3</f>
        <v>26000.000000000004</v>
      </c>
      <c r="Z21" s="5">
        <f t="shared" si="17"/>
        <v>173333.33333333337</v>
      </c>
      <c r="AA21" s="5">
        <f t="shared" si="5"/>
        <v>2365926.8709723153</v>
      </c>
      <c r="AB21" s="6">
        <f t="shared" si="6"/>
        <v>2365.9268709723151</v>
      </c>
      <c r="AC21" s="6">
        <f t="shared" si="7"/>
        <v>118.29634354861577</v>
      </c>
      <c r="AD21" s="6">
        <f t="shared" si="8"/>
        <v>236.59268709723153</v>
      </c>
    </row>
    <row r="22" spans="4:30" ht="25.5">
      <c r="D22" s="20">
        <v>28</v>
      </c>
      <c r="E22" s="21" t="s">
        <v>192</v>
      </c>
      <c r="F22" s="20">
        <v>76</v>
      </c>
      <c r="G22" s="21" t="s">
        <v>191</v>
      </c>
      <c r="H22" s="20">
        <v>2</v>
      </c>
      <c r="I22" s="21" t="s">
        <v>193</v>
      </c>
      <c r="J22" s="29">
        <v>149</v>
      </c>
      <c r="K22" s="29">
        <v>383415</v>
      </c>
      <c r="L22" s="29">
        <v>388909</v>
      </c>
      <c r="M22" s="5">
        <f>$F$31/3</f>
        <v>6.0279139947189746E-2</v>
      </c>
      <c r="N22" s="5">
        <f>O22*$G$31</f>
        <v>98117.200000000012</v>
      </c>
      <c r="O22" s="6">
        <f t="shared" si="0"/>
        <v>1598.0000000000002</v>
      </c>
      <c r="P22" s="6">
        <f t="shared" si="1"/>
        <v>287.64000000000004</v>
      </c>
      <c r="Q22" s="7">
        <v>0.18</v>
      </c>
      <c r="R22" s="7">
        <f t="shared" si="2"/>
        <v>6.9661290019852884E-2</v>
      </c>
      <c r="S22" s="5">
        <f t="shared" si="3"/>
        <v>522459.67514889664</v>
      </c>
      <c r="T22" s="5">
        <f t="shared" si="15"/>
        <v>1772183.2181050573</v>
      </c>
      <c r="U22" s="5">
        <f t="shared" si="15"/>
        <v>9641.1225387476388</v>
      </c>
      <c r="V22" s="5">
        <f t="shared" si="15"/>
        <v>326014.83729291148</v>
      </c>
      <c r="W22" s="5">
        <f t="shared" si="15"/>
        <v>132034.63550072734</v>
      </c>
      <c r="X22" s="5">
        <f t="shared" si="15"/>
        <v>23286.774092350825</v>
      </c>
      <c r="Y22" s="5">
        <f t="shared" si="17"/>
        <v>26000.000000000004</v>
      </c>
      <c r="Z22" s="5">
        <f t="shared" si="17"/>
        <v>173333.33333333337</v>
      </c>
      <c r="AA22" s="5">
        <f t="shared" si="5"/>
        <v>2984953.5960120247</v>
      </c>
      <c r="AB22" s="6">
        <f t="shared" si="6"/>
        <v>2984.9535960120247</v>
      </c>
      <c r="AC22" s="6">
        <f t="shared" si="7"/>
        <v>149.24767980060125</v>
      </c>
      <c r="AD22" s="6">
        <f t="shared" si="8"/>
        <v>298.49535960120249</v>
      </c>
    </row>
    <row r="23" spans="4:30" ht="25.5">
      <c r="D23" s="20">
        <v>28</v>
      </c>
      <c r="E23" s="21" t="s">
        <v>192</v>
      </c>
      <c r="F23" s="20">
        <v>76</v>
      </c>
      <c r="G23" s="21" t="s">
        <v>191</v>
      </c>
      <c r="H23" s="20">
        <v>3</v>
      </c>
      <c r="I23" s="21" t="s">
        <v>190</v>
      </c>
      <c r="J23" s="29">
        <v>216</v>
      </c>
      <c r="K23" s="29">
        <v>638601</v>
      </c>
      <c r="L23" s="29">
        <v>648402</v>
      </c>
      <c r="M23" s="5">
        <f>$F$31/3</f>
        <v>6.0279139947189746E-2</v>
      </c>
      <c r="N23" s="5">
        <f>O23*$G$31</f>
        <v>98117.200000000012</v>
      </c>
      <c r="O23" s="6">
        <f t="shared" si="0"/>
        <v>1598.0000000000002</v>
      </c>
      <c r="P23" s="6">
        <f t="shared" si="1"/>
        <v>287.64000000000004</v>
      </c>
      <c r="Q23" s="7">
        <v>0.18</v>
      </c>
      <c r="R23" s="7">
        <f t="shared" si="2"/>
        <v>6.9661290019852884E-2</v>
      </c>
      <c r="S23" s="5">
        <f t="shared" si="3"/>
        <v>522459.67514889664</v>
      </c>
      <c r="T23" s="5">
        <f t="shared" si="15"/>
        <v>1772183.2181050573</v>
      </c>
      <c r="U23" s="5">
        <f t="shared" si="15"/>
        <v>9641.1225387476388</v>
      </c>
      <c r="V23" s="5">
        <f t="shared" si="15"/>
        <v>326014.83729291148</v>
      </c>
      <c r="W23" s="5">
        <f t="shared" si="15"/>
        <v>132034.63550072734</v>
      </c>
      <c r="X23" s="5">
        <f t="shared" si="15"/>
        <v>23286.774092350825</v>
      </c>
      <c r="Y23" s="5">
        <f t="shared" si="17"/>
        <v>26000.000000000004</v>
      </c>
      <c r="Z23" s="5">
        <f t="shared" si="17"/>
        <v>173333.33333333337</v>
      </c>
      <c r="AA23" s="5">
        <f t="shared" si="5"/>
        <v>2984953.5960120247</v>
      </c>
      <c r="AB23" s="6">
        <f t="shared" si="6"/>
        <v>2984.9535960120247</v>
      </c>
      <c r="AC23" s="6">
        <f t="shared" si="7"/>
        <v>149.24767980060125</v>
      </c>
      <c r="AD23" s="6">
        <f t="shared" si="8"/>
        <v>298.49535960120249</v>
      </c>
    </row>
    <row r="24" spans="4:30">
      <c r="I24" s="21" t="s">
        <v>570</v>
      </c>
      <c r="M24" s="5">
        <f>SUM(M7:M23)</f>
        <v>0.99999999999999989</v>
      </c>
      <c r="O24" s="6">
        <f>SUM(O7:O23)</f>
        <v>26510</v>
      </c>
      <c r="P24" s="6">
        <f>SUM(P7:P23)</f>
        <v>4129.1225000000004</v>
      </c>
      <c r="Q24" s="7">
        <f>AVERAGE(Q7:Q23)</f>
        <v>0.15470588235294119</v>
      </c>
      <c r="R24" s="7">
        <f t="shared" ref="R24:Z24" si="18">SUM(R7:R23)</f>
        <v>0.99999999999999989</v>
      </c>
      <c r="S24" s="7">
        <f t="shared" si="18"/>
        <v>7500000</v>
      </c>
      <c r="T24" s="7">
        <f t="shared" si="18"/>
        <v>25440000</v>
      </c>
      <c r="U24" s="7">
        <f t="shared" si="18"/>
        <v>138400</v>
      </c>
      <c r="V24" s="7">
        <f t="shared" si="18"/>
        <v>4680000</v>
      </c>
      <c r="W24" s="7">
        <f t="shared" si="18"/>
        <v>1895380.2816901403</v>
      </c>
      <c r="X24" s="7">
        <f t="shared" si="18"/>
        <v>334285.71428571432</v>
      </c>
      <c r="Y24" s="7">
        <f t="shared" si="18"/>
        <v>420000</v>
      </c>
      <c r="Z24" s="7">
        <f t="shared" si="18"/>
        <v>2800000.0000000005</v>
      </c>
      <c r="AA24" s="7">
        <f>SUM(AA7:AA23)</f>
        <v>43208065.995975852</v>
      </c>
      <c r="AB24" s="6">
        <f>SUM(AB7:AB23)</f>
        <v>43208.065995975863</v>
      </c>
      <c r="AC24" s="6">
        <f>SUM(AC7:AC23)</f>
        <v>2160.4032997987929</v>
      </c>
      <c r="AD24" s="6">
        <f>SUM(AD7:AD23)</f>
        <v>4320.8065995975858</v>
      </c>
    </row>
    <row r="25" spans="4:30" hidden="1">
      <c r="S25" s="6">
        <f>P28</f>
        <v>7500000</v>
      </c>
      <c r="T25" s="6">
        <f>P29</f>
        <v>25440000</v>
      </c>
      <c r="U25" s="7">
        <f>T49</f>
        <v>138400</v>
      </c>
      <c r="V25" s="7">
        <f>U49</f>
        <v>4680000</v>
      </c>
      <c r="W25" s="7">
        <f>S49+Q49</f>
        <v>1895380.2816901407</v>
      </c>
      <c r="X25" s="7">
        <f>V49</f>
        <v>334285.71428571432</v>
      </c>
      <c r="Y25" s="7"/>
      <c r="Z25" s="7"/>
    </row>
    <row r="26" spans="4:30" hidden="1">
      <c r="G26" s="21" t="s">
        <v>569</v>
      </c>
      <c r="H26" s="5" t="s">
        <v>568</v>
      </c>
      <c r="K26" s="5" t="s">
        <v>567</v>
      </c>
      <c r="N26" s="5" t="s">
        <v>293</v>
      </c>
      <c r="O26" s="6" t="s">
        <v>566</v>
      </c>
      <c r="P26" s="6" t="s">
        <v>565</v>
      </c>
    </row>
    <row r="27" spans="4:30" hidden="1">
      <c r="D27" s="5" t="s">
        <v>181</v>
      </c>
      <c r="E27" s="5">
        <v>5267</v>
      </c>
      <c r="F27" s="5">
        <f>E27/$E$32</f>
        <v>0.1986797434930215</v>
      </c>
      <c r="G27" s="5">
        <v>57.4</v>
      </c>
      <c r="L27" s="5" t="s">
        <v>292</v>
      </c>
      <c r="N27" s="5">
        <v>125216</v>
      </c>
      <c r="O27" s="6">
        <f>N27*0.02</f>
        <v>2504.3200000000002</v>
      </c>
      <c r="P27" s="6">
        <f>(O27*1000)*4</f>
        <v>10017280</v>
      </c>
    </row>
    <row r="28" spans="4:30" hidden="1">
      <c r="D28" s="5" t="s">
        <v>205</v>
      </c>
      <c r="E28" s="5">
        <v>3699</v>
      </c>
      <c r="F28" s="5">
        <f>E28/$E$32</f>
        <v>0.13953225198038477</v>
      </c>
      <c r="G28" s="5">
        <v>75.099999999999994</v>
      </c>
      <c r="L28" s="5" t="s">
        <v>291</v>
      </c>
      <c r="N28" s="5">
        <v>150000</v>
      </c>
      <c r="O28" s="6">
        <f>N28*0.02</f>
        <v>3000</v>
      </c>
      <c r="P28" s="6">
        <f>(O28*1000)*2.5</f>
        <v>7500000</v>
      </c>
    </row>
    <row r="29" spans="4:30" hidden="1">
      <c r="D29" s="5" t="s">
        <v>200</v>
      </c>
      <c r="E29" s="5">
        <v>8037</v>
      </c>
      <c r="F29" s="5">
        <f>E29/$E$32</f>
        <v>0.3031686156167484</v>
      </c>
      <c r="G29" s="5">
        <v>37.700000000000003</v>
      </c>
      <c r="L29" s="5" t="s">
        <v>290</v>
      </c>
      <c r="N29" s="5">
        <v>159000</v>
      </c>
      <c r="O29" s="6">
        <f>N29*0.02</f>
        <v>3180</v>
      </c>
      <c r="P29" s="6">
        <f>(O29*1000)*8</f>
        <v>25440000</v>
      </c>
    </row>
    <row r="30" spans="4:30" hidden="1">
      <c r="D30" s="5" t="s">
        <v>272</v>
      </c>
      <c r="E30" s="5">
        <v>4713</v>
      </c>
      <c r="F30" s="5">
        <f>E30/$E$32</f>
        <v>0.17778196906827612</v>
      </c>
      <c r="G30" s="5">
        <v>67.099999999999994</v>
      </c>
      <c r="L30" s="6" t="s">
        <v>564</v>
      </c>
      <c r="N30" s="5">
        <v>249000</v>
      </c>
      <c r="O30" s="6">
        <f>N30*0.02</f>
        <v>4980</v>
      </c>
      <c r="P30" s="6">
        <f>(O30*1000)*2</f>
        <v>9960000</v>
      </c>
    </row>
    <row r="31" spans="4:30" hidden="1">
      <c r="D31" s="5" t="s">
        <v>271</v>
      </c>
      <c r="E31" s="5">
        <v>4794</v>
      </c>
      <c r="F31" s="5">
        <f>E31/$E$32</f>
        <v>0.18083741984156923</v>
      </c>
      <c r="G31" s="5">
        <v>61.4</v>
      </c>
      <c r="L31" s="6" t="s">
        <v>282</v>
      </c>
      <c r="N31" s="5">
        <v>122500</v>
      </c>
      <c r="O31" s="6">
        <f>N31*0.02</f>
        <v>2450</v>
      </c>
      <c r="P31" s="6">
        <f>(O31*1000)*4</f>
        <v>9800000</v>
      </c>
    </row>
    <row r="32" spans="4:30" hidden="1">
      <c r="E32" s="5">
        <f>SUM(E27:E31)</f>
        <v>26510</v>
      </c>
      <c r="F32" s="5">
        <f>SUM(F27:F31)</f>
        <v>1.0000000000000002</v>
      </c>
      <c r="L32" s="5" t="s">
        <v>563</v>
      </c>
    </row>
    <row r="33" spans="4:26" hidden="1">
      <c r="L33" s="5" t="s">
        <v>562</v>
      </c>
    </row>
    <row r="34" spans="4:26" hidden="1">
      <c r="D34" s="5" t="s">
        <v>561</v>
      </c>
      <c r="L34" s="5" t="s">
        <v>560</v>
      </c>
    </row>
    <row r="35" spans="4:26" hidden="1">
      <c r="D35" s="5" t="s">
        <v>559</v>
      </c>
    </row>
    <row r="36" spans="4:26" hidden="1">
      <c r="D36" s="5" t="s">
        <v>558</v>
      </c>
      <c r="K36" s="5" t="s">
        <v>551</v>
      </c>
      <c r="L36" s="5" t="s">
        <v>557</v>
      </c>
      <c r="M36" s="5" t="s">
        <v>551</v>
      </c>
      <c r="N36" s="5" t="s">
        <v>556</v>
      </c>
    </row>
    <row r="37" spans="4:26" hidden="1">
      <c r="K37" s="5" t="s">
        <v>551</v>
      </c>
      <c r="L37" s="5" t="s">
        <v>555</v>
      </c>
    </row>
    <row r="38" spans="4:26" hidden="1">
      <c r="D38" s="5" t="s">
        <v>554</v>
      </c>
      <c r="K38" s="5" t="s">
        <v>551</v>
      </c>
      <c r="L38" s="5" t="s">
        <v>553</v>
      </c>
    </row>
    <row r="39" spans="4:26" hidden="1">
      <c r="D39" s="5" t="s">
        <v>552</v>
      </c>
      <c r="K39" s="5" t="s">
        <v>551</v>
      </c>
      <c r="L39" s="5" t="s">
        <v>550</v>
      </c>
    </row>
    <row r="40" spans="4:26" hidden="1">
      <c r="Q40" s="162" t="s">
        <v>549</v>
      </c>
      <c r="R40" s="162"/>
      <c r="S40" s="162"/>
      <c r="T40" s="162"/>
      <c r="U40" s="162"/>
      <c r="V40" s="162"/>
      <c r="W40" s="162"/>
    </row>
    <row r="41" spans="4:26" hidden="1">
      <c r="D41" s="5" t="s">
        <v>548</v>
      </c>
      <c r="I41" s="161" t="s">
        <v>547</v>
      </c>
      <c r="J41" s="161"/>
      <c r="K41" s="161"/>
      <c r="L41" s="161"/>
      <c r="M41" s="6" t="s">
        <v>546</v>
      </c>
      <c r="N41" s="6"/>
      <c r="Q41" s="6" t="s">
        <v>538</v>
      </c>
      <c r="R41" s="6"/>
      <c r="S41" s="6" t="s">
        <v>537</v>
      </c>
      <c r="T41" s="5" t="s">
        <v>545</v>
      </c>
      <c r="U41" s="6" t="s">
        <v>536</v>
      </c>
      <c r="V41" s="6" t="s">
        <v>535</v>
      </c>
      <c r="W41" s="6" t="s">
        <v>544</v>
      </c>
      <c r="X41" s="6" t="s">
        <v>544</v>
      </c>
      <c r="Y41" s="6"/>
      <c r="Z41" s="6"/>
    </row>
    <row r="42" spans="4:26" hidden="1">
      <c r="E42" s="5" t="s">
        <v>538</v>
      </c>
      <c r="F42" s="5" t="s">
        <v>537</v>
      </c>
      <c r="G42" s="5" t="s">
        <v>543</v>
      </c>
      <c r="H42" s="5" t="s">
        <v>534</v>
      </c>
      <c r="I42" s="5" t="s">
        <v>538</v>
      </c>
      <c r="J42" s="5" t="s">
        <v>537</v>
      </c>
      <c r="K42" s="5" t="s">
        <v>543</v>
      </c>
      <c r="L42" s="5" t="s">
        <v>534</v>
      </c>
      <c r="M42" s="6" t="s">
        <v>538</v>
      </c>
      <c r="N42" s="6" t="s">
        <v>537</v>
      </c>
      <c r="O42" s="6" t="s">
        <v>543</v>
      </c>
      <c r="P42" s="6" t="s">
        <v>534</v>
      </c>
      <c r="Q42" s="7" t="s">
        <v>532</v>
      </c>
      <c r="S42" s="6" t="s">
        <v>532</v>
      </c>
      <c r="T42" s="6" t="s">
        <v>531</v>
      </c>
      <c r="U42" s="6" t="s">
        <v>530</v>
      </c>
      <c r="V42" s="6" t="s">
        <v>529</v>
      </c>
      <c r="W42" s="6" t="s">
        <v>528</v>
      </c>
      <c r="X42" s="6" t="s">
        <v>527</v>
      </c>
      <c r="Y42" s="6"/>
      <c r="Z42" s="6"/>
    </row>
    <row r="43" spans="4:26" hidden="1">
      <c r="D43" s="5" t="s">
        <v>181</v>
      </c>
      <c r="E43" s="5">
        <v>121</v>
      </c>
      <c r="F43" s="5">
        <v>18</v>
      </c>
      <c r="G43" s="5">
        <v>14</v>
      </c>
      <c r="H43" s="5">
        <v>43</v>
      </c>
      <c r="I43" s="5">
        <f t="shared" ref="I43:K47" si="19">E43*0.03</f>
        <v>3.63</v>
      </c>
      <c r="J43" s="5">
        <f t="shared" si="19"/>
        <v>0.54</v>
      </c>
      <c r="K43" s="5">
        <f t="shared" si="19"/>
        <v>0.42</v>
      </c>
      <c r="L43" s="5">
        <f>H43*0.2</f>
        <v>8.6</v>
      </c>
      <c r="M43" s="6">
        <f>(I43*1000000)/(3.55*1000)</f>
        <v>1022.5352112676056</v>
      </c>
      <c r="N43" s="6">
        <f t="shared" ref="N43:P47" si="20">(J43*1000000)/(1.5*1000)</f>
        <v>360</v>
      </c>
      <c r="O43" s="6">
        <f t="shared" si="20"/>
        <v>280</v>
      </c>
      <c r="P43" s="6">
        <f t="shared" si="20"/>
        <v>5733.333333333333</v>
      </c>
      <c r="Q43" s="7">
        <f>(M43*1000)/5</f>
        <v>204507.04225352113</v>
      </c>
      <c r="R43" s="5" t="s">
        <v>181</v>
      </c>
      <c r="S43" s="7">
        <f>(N43*1000)/5</f>
        <v>72000</v>
      </c>
      <c r="T43" s="7">
        <f>(N43*1000*0.01)*4</f>
        <v>14400</v>
      </c>
      <c r="U43" s="7">
        <f>(O43*1000)*2</f>
        <v>560000</v>
      </c>
      <c r="V43" s="7">
        <f>((K43*1000000*0.2)/0.35)/6</f>
        <v>40000.000000000007</v>
      </c>
      <c r="W43" s="5">
        <f>P43*1000*0.015</f>
        <v>85999.999999999985</v>
      </c>
      <c r="X43" s="5">
        <f>($P43*1000)/10</f>
        <v>573333.33333333326</v>
      </c>
    </row>
    <row r="44" spans="4:26" hidden="1">
      <c r="D44" s="5" t="s">
        <v>205</v>
      </c>
      <c r="E44" s="5">
        <v>47</v>
      </c>
      <c r="F44" s="5">
        <v>10</v>
      </c>
      <c r="G44" s="5">
        <v>18</v>
      </c>
      <c r="H44" s="5">
        <v>45</v>
      </c>
      <c r="I44" s="5">
        <f t="shared" si="19"/>
        <v>1.41</v>
      </c>
      <c r="J44" s="5">
        <f t="shared" si="19"/>
        <v>0.3</v>
      </c>
      <c r="K44" s="5">
        <f t="shared" si="19"/>
        <v>0.54</v>
      </c>
      <c r="L44" s="5">
        <f>H44*0.2</f>
        <v>9</v>
      </c>
      <c r="M44" s="6">
        <f>(I44*1000000)/(3.55*1000)</f>
        <v>397.18309859154931</v>
      </c>
      <c r="N44" s="6">
        <f t="shared" si="20"/>
        <v>200</v>
      </c>
      <c r="O44" s="6">
        <f t="shared" si="20"/>
        <v>360</v>
      </c>
      <c r="P44" s="6">
        <f t="shared" si="20"/>
        <v>6000</v>
      </c>
      <c r="Q44" s="7">
        <f>(M44*1000)/5</f>
        <v>79436.61971830987</v>
      </c>
      <c r="R44" s="5" t="s">
        <v>205</v>
      </c>
      <c r="S44" s="7">
        <f>(N44*1000)/5</f>
        <v>40000</v>
      </c>
      <c r="T44" s="7">
        <f>(N44*1000*0.01)*4</f>
        <v>8000</v>
      </c>
      <c r="U44" s="7">
        <f>(O44*1000)*2</f>
        <v>720000</v>
      </c>
      <c r="V44" s="7">
        <f>((K44*1000000*0.2)/0.35)/6</f>
        <v>51428.571428571428</v>
      </c>
      <c r="W44" s="5">
        <f>P44*1000*0.015</f>
        <v>90000</v>
      </c>
      <c r="X44" s="5">
        <f>($P44*1000)/10</f>
        <v>600000</v>
      </c>
    </row>
    <row r="45" spans="4:26" hidden="1">
      <c r="D45" s="5" t="s">
        <v>200</v>
      </c>
      <c r="E45" s="5">
        <v>243</v>
      </c>
      <c r="F45" s="5">
        <v>99</v>
      </c>
      <c r="G45" s="5">
        <v>51</v>
      </c>
      <c r="H45" s="5">
        <v>74</v>
      </c>
      <c r="I45" s="5">
        <f t="shared" si="19"/>
        <v>7.29</v>
      </c>
      <c r="J45" s="5">
        <f t="shared" si="19"/>
        <v>2.9699999999999998</v>
      </c>
      <c r="K45" s="5">
        <f t="shared" si="19"/>
        <v>1.53</v>
      </c>
      <c r="L45" s="5">
        <f>H45*0.2</f>
        <v>14.8</v>
      </c>
      <c r="M45" s="6">
        <f>(I45*1000000)/(3.55*1000)</f>
        <v>2053.5211267605632</v>
      </c>
      <c r="N45" s="6">
        <f t="shared" si="20"/>
        <v>1979.9999999999998</v>
      </c>
      <c r="O45" s="6">
        <f t="shared" si="20"/>
        <v>1020</v>
      </c>
      <c r="P45" s="6">
        <f t="shared" si="20"/>
        <v>9866.6666666666661</v>
      </c>
      <c r="Q45" s="7">
        <f>(M45*1000)/5</f>
        <v>410704.22535211261</v>
      </c>
      <c r="R45" s="5" t="s">
        <v>200</v>
      </c>
      <c r="S45" s="7">
        <f>(N45*1000)/5</f>
        <v>395999.99999999994</v>
      </c>
      <c r="T45" s="7">
        <f>(N45*1000*0.01)*4</f>
        <v>79199.999999999985</v>
      </c>
      <c r="U45" s="7">
        <f>(O45*1000)*2</f>
        <v>2040000</v>
      </c>
      <c r="V45" s="7">
        <f>((K45*1000000*0.2)/0.35)/6</f>
        <v>145714.28571428571</v>
      </c>
      <c r="W45" s="5">
        <f>P45*1000*0.015</f>
        <v>147999.99999999997</v>
      </c>
      <c r="X45" s="5">
        <f>($P45*1000)/10</f>
        <v>986666.66666666663</v>
      </c>
    </row>
    <row r="46" spans="4:26" hidden="1">
      <c r="D46" s="5" t="s">
        <v>272</v>
      </c>
      <c r="E46" s="5">
        <v>169</v>
      </c>
      <c r="F46" s="5">
        <v>27</v>
      </c>
      <c r="G46" s="5">
        <v>27</v>
      </c>
      <c r="H46" s="5">
        <v>9</v>
      </c>
      <c r="I46" s="5">
        <f t="shared" si="19"/>
        <v>5.0699999999999994</v>
      </c>
      <c r="J46" s="5">
        <f t="shared" si="19"/>
        <v>0.80999999999999994</v>
      </c>
      <c r="K46" s="5">
        <f t="shared" si="19"/>
        <v>0.80999999999999994</v>
      </c>
      <c r="L46" s="5">
        <f>H46*0.2</f>
        <v>1.8</v>
      </c>
      <c r="M46" s="6">
        <f>(I46*1000000)/(3.55*1000)</f>
        <v>1428.1690140845067</v>
      </c>
      <c r="N46" s="6">
        <f t="shared" si="20"/>
        <v>540</v>
      </c>
      <c r="O46" s="6">
        <f t="shared" si="20"/>
        <v>540</v>
      </c>
      <c r="P46" s="6">
        <f t="shared" si="20"/>
        <v>1200</v>
      </c>
      <c r="Q46" s="7">
        <f>(M46*1000)/5</f>
        <v>285633.80281690136</v>
      </c>
      <c r="R46" s="5" t="s">
        <v>272</v>
      </c>
      <c r="S46" s="7">
        <f>(N46*1000)/5</f>
        <v>108000</v>
      </c>
      <c r="T46" s="7">
        <f>(N46*1000*0.01)*4</f>
        <v>21600</v>
      </c>
      <c r="U46" s="7">
        <f>(O46*1000)*2</f>
        <v>1080000</v>
      </c>
      <c r="V46" s="7">
        <f>((K46*1000000*0.2)/0.35)/6</f>
        <v>77142.857142857145</v>
      </c>
      <c r="W46" s="5">
        <f>P46*1000*0.015</f>
        <v>18000</v>
      </c>
      <c r="X46" s="5">
        <f>($P46*1000)/10</f>
        <v>120000</v>
      </c>
    </row>
    <row r="47" spans="4:26" hidden="1">
      <c r="D47" s="5" t="s">
        <v>271</v>
      </c>
      <c r="E47" s="5">
        <v>132</v>
      </c>
      <c r="F47" s="5">
        <v>19</v>
      </c>
      <c r="G47" s="5">
        <v>7</v>
      </c>
      <c r="H47" s="5">
        <v>39</v>
      </c>
      <c r="I47" s="5">
        <f t="shared" si="19"/>
        <v>3.96</v>
      </c>
      <c r="J47" s="5">
        <f t="shared" si="19"/>
        <v>0.56999999999999995</v>
      </c>
      <c r="K47" s="5">
        <f t="shared" si="19"/>
        <v>0.21</v>
      </c>
      <c r="L47" s="5">
        <f>H47*0.2</f>
        <v>7.8000000000000007</v>
      </c>
      <c r="M47" s="6">
        <f>(I47*1000000)/(3.55*1000)</f>
        <v>1115.4929577464789</v>
      </c>
      <c r="N47" s="6">
        <f t="shared" si="20"/>
        <v>380</v>
      </c>
      <c r="O47" s="6">
        <f t="shared" si="20"/>
        <v>140</v>
      </c>
      <c r="P47" s="6">
        <f t="shared" si="20"/>
        <v>5200.0000000000009</v>
      </c>
      <c r="Q47" s="7">
        <f>(M47*1000)/5</f>
        <v>223098.59154929579</v>
      </c>
      <c r="R47" s="5" t="s">
        <v>271</v>
      </c>
      <c r="S47" s="7">
        <f>(N47*1000)/5</f>
        <v>76000</v>
      </c>
      <c r="T47" s="7">
        <f>(N47*1000*0.01)*4</f>
        <v>15200</v>
      </c>
      <c r="U47" s="7">
        <f>(O47*1000)*2</f>
        <v>280000</v>
      </c>
      <c r="V47" s="7">
        <f>((K47*1000000*0.2)/0.35)/6</f>
        <v>20000.000000000004</v>
      </c>
      <c r="W47" s="5">
        <f>P47*1000*0.015</f>
        <v>78000.000000000015</v>
      </c>
      <c r="X47" s="5">
        <f>($P47*1000)/10</f>
        <v>520000.00000000012</v>
      </c>
    </row>
    <row r="48" spans="4:26" hidden="1">
      <c r="R48" s="7" t="s">
        <v>230</v>
      </c>
    </row>
    <row r="49" spans="17:26" hidden="1">
      <c r="Q49" s="7">
        <f>SUM(Q43:Q47)</f>
        <v>1203380.2816901407</v>
      </c>
      <c r="S49" s="7">
        <f t="shared" ref="S49:X49" si="21">SUM(S43:S47)</f>
        <v>692000</v>
      </c>
      <c r="T49" s="7">
        <f t="shared" si="21"/>
        <v>138400</v>
      </c>
      <c r="U49" s="7">
        <f t="shared" si="21"/>
        <v>4680000</v>
      </c>
      <c r="V49" s="7">
        <f t="shared" si="21"/>
        <v>334285.71428571432</v>
      </c>
      <c r="W49" s="7">
        <f t="shared" si="21"/>
        <v>420000</v>
      </c>
      <c r="X49" s="7">
        <f t="shared" si="21"/>
        <v>2800000</v>
      </c>
      <c r="Y49" s="7"/>
      <c r="Z49" s="7"/>
    </row>
    <row r="50" spans="17:26" hidden="1"/>
    <row r="52" spans="17:26">
      <c r="T52" s="5" t="s">
        <v>542</v>
      </c>
    </row>
    <row r="53" spans="17:26">
      <c r="T53" s="5" t="s">
        <v>541</v>
      </c>
    </row>
    <row r="54" spans="17:26">
      <c r="T54" s="5" t="s">
        <v>540</v>
      </c>
    </row>
    <row r="57" spans="17:26" ht="40.15" customHeight="1"/>
  </sheetData>
  <sheetProtection sheet="1" objects="1" scenarios="1"/>
  <mergeCells count="9">
    <mergeCell ref="AH5:AT5"/>
    <mergeCell ref="AT6:AT7"/>
    <mergeCell ref="AP6:AR6"/>
    <mergeCell ref="AS6:AS7"/>
    <mergeCell ref="I41:L41"/>
    <mergeCell ref="Q40:W40"/>
    <mergeCell ref="AN6:AO6"/>
    <mergeCell ref="AJ6:AK6"/>
    <mergeCell ref="AH6:AH7"/>
  </mergeCells>
  <pageMargins left="0.7" right="0.7" top="0.75" bottom="0.75" header="0.3" footer="0.3"/>
  <pageSetup paperSize="9" orientation="portrait"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E48DC-B0B5-48E8-B18C-DEEFFCE6D60A}">
  <sheetPr codeName="Feuil10"/>
  <dimension ref="D5:AQ118"/>
  <sheetViews>
    <sheetView topLeftCell="W1" workbookViewId="0">
      <selection activeCell="A25" sqref="A25:XFD118"/>
    </sheetView>
  </sheetViews>
  <sheetFormatPr baseColWidth="10" defaultRowHeight="15"/>
  <cols>
    <col min="1" max="14" width="11" style="5"/>
    <col min="15" max="16" width="11" style="5" bestFit="1" customWidth="1"/>
    <col min="17" max="21" width="11" style="5"/>
    <col min="22" max="22" width="11.625" style="5" bestFit="1" customWidth="1"/>
    <col min="23" max="26" width="11" style="5" customWidth="1"/>
    <col min="27" max="27" width="11" style="5"/>
    <col min="28" max="28" width="7.75" style="5" bestFit="1" customWidth="1"/>
    <col min="29" max="29" width="11.625" style="5" customWidth="1"/>
    <col min="30" max="16384" width="11" style="5"/>
  </cols>
  <sheetData>
    <row r="5" spans="4:43">
      <c r="X5" s="132" t="s">
        <v>289</v>
      </c>
      <c r="Y5" s="133"/>
      <c r="Z5" s="133"/>
      <c r="AA5" s="133"/>
      <c r="AB5" s="133"/>
      <c r="AC5" s="133"/>
      <c r="AD5" s="133"/>
      <c r="AE5" s="133"/>
      <c r="AF5" s="133"/>
      <c r="AG5" s="133"/>
      <c r="AH5" s="133"/>
      <c r="AI5" s="133"/>
      <c r="AK5" s="132" t="s">
        <v>279</v>
      </c>
      <c r="AL5" s="133"/>
      <c r="AM5" s="133"/>
      <c r="AN5" s="133"/>
      <c r="AO5" s="133"/>
      <c r="AP5" s="133"/>
      <c r="AQ5" s="133"/>
    </row>
    <row r="6" spans="4:43" ht="45">
      <c r="D6" s="12" t="s">
        <v>229</v>
      </c>
      <c r="E6" s="12" t="s">
        <v>228</v>
      </c>
      <c r="F6" s="12" t="s">
        <v>227</v>
      </c>
      <c r="G6" s="12" t="s">
        <v>226</v>
      </c>
      <c r="H6" s="12" t="s">
        <v>225</v>
      </c>
      <c r="I6" s="12" t="s">
        <v>268</v>
      </c>
      <c r="J6" s="12" t="s">
        <v>224</v>
      </c>
      <c r="K6" s="12" t="s">
        <v>223</v>
      </c>
      <c r="L6" s="12" t="s">
        <v>222</v>
      </c>
      <c r="M6" s="12" t="s">
        <v>299</v>
      </c>
      <c r="N6" s="12" t="s">
        <v>161</v>
      </c>
      <c r="O6" s="12" t="s">
        <v>298</v>
      </c>
      <c r="P6" s="12" t="s">
        <v>297</v>
      </c>
      <c r="Q6" s="12" t="s">
        <v>296</v>
      </c>
      <c r="R6" s="12" t="s">
        <v>295</v>
      </c>
      <c r="S6" s="12" t="s">
        <v>294</v>
      </c>
      <c r="T6" s="20"/>
      <c r="X6" s="12" t="s">
        <v>278</v>
      </c>
      <c r="Y6" s="12" t="s">
        <v>277</v>
      </c>
      <c r="Z6" s="12" t="s">
        <v>276</v>
      </c>
      <c r="AA6" s="12" t="s">
        <v>275</v>
      </c>
      <c r="AB6" s="12" t="s">
        <v>274</v>
      </c>
      <c r="AC6" s="12" t="s">
        <v>273</v>
      </c>
      <c r="AD6" s="12" t="s">
        <v>270</v>
      </c>
      <c r="AE6" s="12" t="s">
        <v>287</v>
      </c>
      <c r="AF6" s="12" t="s">
        <v>286</v>
      </c>
      <c r="AG6" s="12" t="s">
        <v>285</v>
      </c>
      <c r="AH6" s="12" t="s">
        <v>284</v>
      </c>
      <c r="AI6" s="12" t="s">
        <v>283</v>
      </c>
      <c r="AK6" s="12" t="s">
        <v>278</v>
      </c>
      <c r="AL6" s="12" t="s">
        <v>277</v>
      </c>
      <c r="AM6" s="12" t="s">
        <v>276</v>
      </c>
      <c r="AN6" s="12" t="s">
        <v>275</v>
      </c>
      <c r="AO6" s="12" t="s">
        <v>274</v>
      </c>
      <c r="AP6" s="12" t="s">
        <v>273</v>
      </c>
      <c r="AQ6" s="12" t="s">
        <v>270</v>
      </c>
    </row>
    <row r="7" spans="4:43">
      <c r="D7" s="20">
        <v>28</v>
      </c>
      <c r="E7" s="21" t="s">
        <v>192</v>
      </c>
      <c r="F7" s="20">
        <v>14</v>
      </c>
      <c r="G7" s="21" t="s">
        <v>181</v>
      </c>
      <c r="H7" s="20">
        <v>1</v>
      </c>
      <c r="I7" s="21" t="s">
        <v>211</v>
      </c>
      <c r="J7" s="29">
        <v>123</v>
      </c>
      <c r="K7" s="29">
        <v>73516</v>
      </c>
      <c r="L7" s="29">
        <v>74932</v>
      </c>
      <c r="M7" s="29">
        <v>800</v>
      </c>
      <c r="N7" s="34">
        <f t="shared" ref="N7:N23" si="0">M7/$M$25</f>
        <v>0.12030075187969924</v>
      </c>
      <c r="O7" s="5">
        <f t="shared" ref="O7:O23" si="1">N7*$K$29</f>
        <v>153022556.39097744</v>
      </c>
      <c r="P7" s="5">
        <f t="shared" ref="P7:P23" si="2">N7*$K$28</f>
        <v>45112781.954887219</v>
      </c>
      <c r="Q7" s="5">
        <f t="shared" ref="Q7:Q23" si="3">N7*$K$30</f>
        <v>83208020.050125301</v>
      </c>
      <c r="R7" s="5">
        <f t="shared" ref="R7:R23" si="4">N7*$K$31</f>
        <v>58947368.421052627</v>
      </c>
      <c r="S7" s="5">
        <f t="shared" ref="S7:S23" si="5">SUM(O7:R7)/1000</f>
        <v>340290.72681704257</v>
      </c>
      <c r="X7" s="11" t="s">
        <v>181</v>
      </c>
      <c r="Y7" s="10">
        <f>SUM(O$7:O$10)/1000</f>
        <v>353864.66165413533</v>
      </c>
      <c r="Z7" s="10">
        <f>SUM(P$7:P$10)/1000</f>
        <v>104323.30827067669</v>
      </c>
      <c r="AA7" s="10">
        <f>SUM(Q$7:Q$10)/1000</f>
        <v>192418.54636591475</v>
      </c>
      <c r="AB7" s="10">
        <f>SUM(R$7:R$10)/1000</f>
        <v>136315.78947368418</v>
      </c>
      <c r="AC7" s="10">
        <f t="shared" ref="AC7:AC12" si="6">SUM(Y7:AB7)</f>
        <v>786922.30576441099</v>
      </c>
      <c r="AD7" s="10">
        <f>(AC7/$AC$12)*100</f>
        <v>27.819548872180448</v>
      </c>
      <c r="AE7" s="10">
        <f t="shared" ref="AE7:AI11" si="7">$AC7*AK$34</f>
        <v>39346.11528822055</v>
      </c>
      <c r="AF7" s="10">
        <f t="shared" si="7"/>
        <v>47215.338345864657</v>
      </c>
      <c r="AG7" s="10">
        <f t="shared" si="7"/>
        <v>55084.561403508778</v>
      </c>
      <c r="AH7" s="10">
        <f t="shared" si="7"/>
        <v>62953.784461152878</v>
      </c>
      <c r="AI7" s="10">
        <f t="shared" si="7"/>
        <v>78692.230576441099</v>
      </c>
      <c r="AK7" s="11" t="s">
        <v>181</v>
      </c>
      <c r="AL7" s="10">
        <v>353864.66165413533</v>
      </c>
      <c r="AM7" s="10">
        <v>104323.30827067669</v>
      </c>
      <c r="AN7" s="10">
        <v>192418.54636591475</v>
      </c>
      <c r="AO7" s="10">
        <v>136315.78947368418</v>
      </c>
      <c r="AP7" s="10">
        <v>786922.30576441099</v>
      </c>
      <c r="AQ7" s="10">
        <v>27.819548872180448</v>
      </c>
    </row>
    <row r="8" spans="4:43">
      <c r="D8" s="20">
        <v>28</v>
      </c>
      <c r="E8" s="21" t="s">
        <v>192</v>
      </c>
      <c r="F8" s="20">
        <v>14</v>
      </c>
      <c r="G8" s="21" t="s">
        <v>181</v>
      </c>
      <c r="H8" s="20">
        <v>2</v>
      </c>
      <c r="I8" s="21" t="s">
        <v>210</v>
      </c>
      <c r="J8" s="29">
        <v>201</v>
      </c>
      <c r="K8" s="29">
        <v>393027</v>
      </c>
      <c r="L8" s="29">
        <v>399850</v>
      </c>
      <c r="M8" s="29">
        <v>125</v>
      </c>
      <c r="N8" s="34">
        <f t="shared" si="0"/>
        <v>1.8796992481203006E-2</v>
      </c>
      <c r="O8" s="5">
        <f t="shared" si="1"/>
        <v>23909774.436090223</v>
      </c>
      <c r="P8" s="5">
        <f t="shared" si="2"/>
        <v>7048872.1804511277</v>
      </c>
      <c r="Q8" s="5">
        <f t="shared" si="3"/>
        <v>13001253.132832078</v>
      </c>
      <c r="R8" s="5">
        <f t="shared" si="4"/>
        <v>9210526.3157894723</v>
      </c>
      <c r="S8" s="5">
        <f t="shared" si="5"/>
        <v>53170.426065162894</v>
      </c>
      <c r="V8" s="13">
        <f>SUM(M7:M10)</f>
        <v>1850</v>
      </c>
      <c r="X8" s="11" t="s">
        <v>205</v>
      </c>
      <c r="Y8" s="10">
        <f>SUM(O$11:O$13)/1000</f>
        <v>66947.368421052641</v>
      </c>
      <c r="Z8" s="10">
        <f>SUM(P$11:P$13)/1000</f>
        <v>19736.842105263157</v>
      </c>
      <c r="AA8" s="10">
        <f>SUM(Q$11:Q$13)/1000</f>
        <v>36403.508771929824</v>
      </c>
      <c r="AB8" s="10">
        <f>SUM(R$11:R$13)/1000</f>
        <v>25789.473684210523</v>
      </c>
      <c r="AC8" s="10">
        <f t="shared" si="6"/>
        <v>148877.19298245615</v>
      </c>
      <c r="AD8" s="10">
        <f>(AC8/$AC$12)*100</f>
        <v>5.2631578947368425</v>
      </c>
      <c r="AE8" s="10">
        <f t="shared" si="7"/>
        <v>7443.8596491228082</v>
      </c>
      <c r="AF8" s="10">
        <f t="shared" si="7"/>
        <v>8932.6315789473683</v>
      </c>
      <c r="AG8" s="10">
        <f t="shared" si="7"/>
        <v>10421.403508771931</v>
      </c>
      <c r="AH8" s="10">
        <f t="shared" si="7"/>
        <v>11910.175438596492</v>
      </c>
      <c r="AI8" s="10">
        <f t="shared" si="7"/>
        <v>14887.719298245616</v>
      </c>
      <c r="AK8" s="11" t="s">
        <v>205</v>
      </c>
      <c r="AL8" s="10">
        <v>66947.368421052641</v>
      </c>
      <c r="AM8" s="10">
        <v>19736.842105263157</v>
      </c>
      <c r="AN8" s="10">
        <v>36403.508771929824</v>
      </c>
      <c r="AO8" s="10">
        <v>25789.473684210523</v>
      </c>
      <c r="AP8" s="10">
        <v>148877.19298245615</v>
      </c>
      <c r="AQ8" s="10">
        <v>5.2631578947368425</v>
      </c>
    </row>
    <row r="9" spans="4:43">
      <c r="D9" s="20">
        <v>28</v>
      </c>
      <c r="E9" s="21" t="s">
        <v>192</v>
      </c>
      <c r="F9" s="20">
        <v>14</v>
      </c>
      <c r="G9" s="21" t="s">
        <v>181</v>
      </c>
      <c r="H9" s="20">
        <v>3</v>
      </c>
      <c r="I9" s="21" t="s">
        <v>209</v>
      </c>
      <c r="J9" s="29">
        <v>160</v>
      </c>
      <c r="K9" s="29">
        <v>159810</v>
      </c>
      <c r="L9" s="29">
        <v>163468</v>
      </c>
      <c r="M9" s="29">
        <v>800</v>
      </c>
      <c r="N9" s="34">
        <f t="shared" si="0"/>
        <v>0.12030075187969924</v>
      </c>
      <c r="O9" s="5">
        <f t="shared" si="1"/>
        <v>153022556.39097744</v>
      </c>
      <c r="P9" s="5">
        <f t="shared" si="2"/>
        <v>45112781.954887219</v>
      </c>
      <c r="Q9" s="5">
        <f t="shared" si="3"/>
        <v>83208020.050125301</v>
      </c>
      <c r="R9" s="5">
        <f t="shared" si="4"/>
        <v>58947368.421052627</v>
      </c>
      <c r="S9" s="5">
        <f t="shared" si="5"/>
        <v>340290.72681704257</v>
      </c>
      <c r="V9" s="13">
        <f>SUM(M14:M17)</f>
        <v>2150</v>
      </c>
      <c r="X9" s="11" t="s">
        <v>200</v>
      </c>
      <c r="Y9" s="10">
        <f>SUM(O$14:O$17)/1000</f>
        <v>411248.12030075188</v>
      </c>
      <c r="Z9" s="10">
        <f>SUM(P$14:P$17)/1000</f>
        <v>121240.6015037594</v>
      </c>
      <c r="AA9" s="10">
        <f>SUM(Q$14:Q$17)/1000</f>
        <v>223621.55388471176</v>
      </c>
      <c r="AB9" s="10">
        <f>SUM(R$14:R$17)/1000</f>
        <v>158421.05263157893</v>
      </c>
      <c r="AC9" s="10">
        <f t="shared" si="6"/>
        <v>914531.32832080196</v>
      </c>
      <c r="AD9" s="10">
        <f>(AC9/$AC$12)*100</f>
        <v>32.330827067669169</v>
      </c>
      <c r="AE9" s="10">
        <f t="shared" si="7"/>
        <v>45726.566416040099</v>
      </c>
      <c r="AF9" s="10">
        <f t="shared" si="7"/>
        <v>54871.879699248115</v>
      </c>
      <c r="AG9" s="10">
        <f t="shared" si="7"/>
        <v>64017.192982456145</v>
      </c>
      <c r="AH9" s="10">
        <f t="shared" si="7"/>
        <v>73162.506265664153</v>
      </c>
      <c r="AI9" s="10">
        <f t="shared" si="7"/>
        <v>91453.132832080199</v>
      </c>
      <c r="AK9" s="11" t="s">
        <v>200</v>
      </c>
      <c r="AL9" s="10">
        <v>411248.12030075188</v>
      </c>
      <c r="AM9" s="10">
        <v>121240.6015037594</v>
      </c>
      <c r="AN9" s="10">
        <v>223621.55388471176</v>
      </c>
      <c r="AO9" s="10">
        <v>158421.05263157893</v>
      </c>
      <c r="AP9" s="10">
        <v>914531.32832080196</v>
      </c>
      <c r="AQ9" s="10">
        <v>32.330827067669169</v>
      </c>
    </row>
    <row r="10" spans="4:43">
      <c r="D10" s="20">
        <v>28</v>
      </c>
      <c r="E10" s="21" t="s">
        <v>192</v>
      </c>
      <c r="F10" s="20">
        <v>14</v>
      </c>
      <c r="G10" s="21" t="s">
        <v>181</v>
      </c>
      <c r="H10" s="20">
        <v>4</v>
      </c>
      <c r="I10" s="21" t="s">
        <v>208</v>
      </c>
      <c r="J10" s="29">
        <v>44</v>
      </c>
      <c r="K10" s="29">
        <v>71194</v>
      </c>
      <c r="L10" s="29">
        <v>73131</v>
      </c>
      <c r="M10" s="29">
        <v>125</v>
      </c>
      <c r="N10" s="34">
        <f t="shared" si="0"/>
        <v>1.8796992481203006E-2</v>
      </c>
      <c r="O10" s="5">
        <f t="shared" si="1"/>
        <v>23909774.436090223</v>
      </c>
      <c r="P10" s="5">
        <f t="shared" si="2"/>
        <v>7048872.1804511277</v>
      </c>
      <c r="Q10" s="5">
        <f t="shared" si="3"/>
        <v>13001253.132832078</v>
      </c>
      <c r="R10" s="5">
        <f t="shared" si="4"/>
        <v>9210526.3157894723</v>
      </c>
      <c r="S10" s="5">
        <f t="shared" si="5"/>
        <v>53170.426065162894</v>
      </c>
      <c r="X10" s="11" t="s">
        <v>272</v>
      </c>
      <c r="Y10" s="10">
        <f>SUM(O$18:O$20)/1000</f>
        <v>248661.65413533832</v>
      </c>
      <c r="Z10" s="10">
        <f>SUM(P$18:P$20)/1000</f>
        <v>73308.27067669174</v>
      </c>
      <c r="AA10" s="10">
        <f>SUM(Q$18:Q$20)/1000</f>
        <v>135213.03258145362</v>
      </c>
      <c r="AB10" s="10">
        <f>SUM(R$18:R$20)/1000</f>
        <v>95789.473684210505</v>
      </c>
      <c r="AC10" s="10">
        <f t="shared" si="6"/>
        <v>552972.43107769417</v>
      </c>
      <c r="AD10" s="10">
        <f>(AC10/$AC$12)*100</f>
        <v>19.548872180451127</v>
      </c>
      <c r="AE10" s="10">
        <f t="shared" si="7"/>
        <v>27648.62155388471</v>
      </c>
      <c r="AF10" s="10">
        <f t="shared" si="7"/>
        <v>33178.345864661649</v>
      </c>
      <c r="AG10" s="10">
        <f t="shared" si="7"/>
        <v>38708.070175438595</v>
      </c>
      <c r="AH10" s="10">
        <f t="shared" si="7"/>
        <v>44237.794486215535</v>
      </c>
      <c r="AI10" s="10">
        <f t="shared" si="7"/>
        <v>55297.24310776942</v>
      </c>
      <c r="AK10" s="11" t="s">
        <v>272</v>
      </c>
      <c r="AL10" s="10">
        <v>248661.65413533832</v>
      </c>
      <c r="AM10" s="10">
        <v>73308.27067669174</v>
      </c>
      <c r="AN10" s="10">
        <v>135213.03258145362</v>
      </c>
      <c r="AO10" s="10">
        <v>95789.473684210505</v>
      </c>
      <c r="AP10" s="10">
        <v>552972.43107769417</v>
      </c>
      <c r="AQ10" s="10">
        <v>19.548872180451127</v>
      </c>
    </row>
    <row r="11" spans="4:43">
      <c r="D11" s="20">
        <v>28</v>
      </c>
      <c r="E11" s="21" t="s">
        <v>192</v>
      </c>
      <c r="F11" s="20">
        <v>27</v>
      </c>
      <c r="G11" s="21" t="s">
        <v>205</v>
      </c>
      <c r="H11" s="20">
        <v>1</v>
      </c>
      <c r="I11" s="21" t="s">
        <v>207</v>
      </c>
      <c r="J11" s="29">
        <v>185</v>
      </c>
      <c r="K11" s="29">
        <v>235416</v>
      </c>
      <c r="L11" s="29">
        <v>240268</v>
      </c>
      <c r="M11" s="29">
        <v>300</v>
      </c>
      <c r="N11" s="34">
        <f t="shared" si="0"/>
        <v>4.5112781954887216E-2</v>
      </c>
      <c r="O11" s="5">
        <f t="shared" si="1"/>
        <v>57383458.646616541</v>
      </c>
      <c r="P11" s="5">
        <f t="shared" si="2"/>
        <v>16917293.233082704</v>
      </c>
      <c r="Q11" s="5">
        <f t="shared" si="3"/>
        <v>31203007.518796988</v>
      </c>
      <c r="R11" s="5">
        <f t="shared" si="4"/>
        <v>22105263.157894734</v>
      </c>
      <c r="S11" s="5">
        <f t="shared" si="5"/>
        <v>127609.02255639098</v>
      </c>
      <c r="X11" s="11" t="s">
        <v>271</v>
      </c>
      <c r="Y11" s="10">
        <f>SUM(O$21:O$23)/1000</f>
        <v>191278.1954887218</v>
      </c>
      <c r="Z11" s="10">
        <f>SUM(P$21:P$23)/1000</f>
        <v>56390.977443609023</v>
      </c>
      <c r="AA11" s="10">
        <f>SUM(Q$21:Q$23)/1000</f>
        <v>104010.02506265663</v>
      </c>
      <c r="AB11" s="10">
        <f>SUM(R$21:R$23)/1000</f>
        <v>73684.210526315772</v>
      </c>
      <c r="AC11" s="10">
        <f t="shared" si="6"/>
        <v>425363.40852130321</v>
      </c>
      <c r="AD11" s="10">
        <f>(AC11/$AC$12)*100</f>
        <v>15.037593984962406</v>
      </c>
      <c r="AE11" s="10">
        <f t="shared" si="7"/>
        <v>21268.17042606516</v>
      </c>
      <c r="AF11" s="10">
        <f t="shared" si="7"/>
        <v>25521.804511278191</v>
      </c>
      <c r="AG11" s="10">
        <f t="shared" si="7"/>
        <v>29775.438596491229</v>
      </c>
      <c r="AH11" s="10">
        <f t="shared" si="7"/>
        <v>34029.07268170426</v>
      </c>
      <c r="AI11" s="10">
        <f t="shared" si="7"/>
        <v>42536.340852130321</v>
      </c>
      <c r="AK11" s="11" t="s">
        <v>271</v>
      </c>
      <c r="AL11" s="10">
        <v>191278.1954887218</v>
      </c>
      <c r="AM11" s="10">
        <v>56390.977443609023</v>
      </c>
      <c r="AN11" s="10">
        <v>104010.02506265663</v>
      </c>
      <c r="AO11" s="10">
        <v>73684.210526315772</v>
      </c>
      <c r="AP11" s="10">
        <v>425363.40852130321</v>
      </c>
      <c r="AQ11" s="10">
        <v>15.037593984962406</v>
      </c>
    </row>
    <row r="12" spans="4:43">
      <c r="D12" s="20">
        <v>28</v>
      </c>
      <c r="E12" s="21" t="s">
        <v>192</v>
      </c>
      <c r="F12" s="20">
        <v>27</v>
      </c>
      <c r="G12" s="21" t="s">
        <v>205</v>
      </c>
      <c r="H12" s="20">
        <v>2</v>
      </c>
      <c r="I12" s="21" t="s">
        <v>206</v>
      </c>
      <c r="J12" s="29">
        <v>297</v>
      </c>
      <c r="K12" s="29">
        <v>225807</v>
      </c>
      <c r="L12" s="29">
        <v>230922</v>
      </c>
      <c r="M12" s="29">
        <v>30</v>
      </c>
      <c r="N12" s="34">
        <f t="shared" si="0"/>
        <v>4.5112781954887221E-3</v>
      </c>
      <c r="O12" s="5">
        <f t="shared" si="1"/>
        <v>5738345.8646616545</v>
      </c>
      <c r="P12" s="5">
        <f t="shared" si="2"/>
        <v>1691729.3233082709</v>
      </c>
      <c r="Q12" s="5">
        <f t="shared" si="3"/>
        <v>3120300.7518796991</v>
      </c>
      <c r="R12" s="5">
        <f t="shared" si="4"/>
        <v>2210526.3157894737</v>
      </c>
      <c r="S12" s="5">
        <f t="shared" si="5"/>
        <v>12760.902255639099</v>
      </c>
      <c r="X12" s="9" t="s">
        <v>230</v>
      </c>
      <c r="Y12" s="8">
        <f>SUM(Y7:Y11)</f>
        <v>1272000</v>
      </c>
      <c r="Z12" s="8">
        <f>SUM(Z7:Z11)</f>
        <v>375000</v>
      </c>
      <c r="AA12" s="8">
        <f>SUM(AA7:AA11)</f>
        <v>691666.66666666663</v>
      </c>
      <c r="AB12" s="8">
        <f>SUM(AB7:AB11)</f>
        <v>489999.99999999994</v>
      </c>
      <c r="AC12" s="8">
        <f t="shared" si="6"/>
        <v>2828666.6666666665</v>
      </c>
      <c r="AD12" s="33"/>
      <c r="AE12" s="8">
        <f>SUM(AE7:AE11)</f>
        <v>141433.33333333331</v>
      </c>
      <c r="AF12" s="8">
        <f>SUM(AF7:AF11)</f>
        <v>169719.99999999997</v>
      </c>
      <c r="AG12" s="8">
        <f>SUM(AG7:AG11)</f>
        <v>198006.66666666669</v>
      </c>
      <c r="AH12" s="8">
        <f>SUM(AH7:AH11)</f>
        <v>226293.33333333331</v>
      </c>
      <c r="AI12" s="8">
        <f>SUM(AI7:AI11)</f>
        <v>282866.66666666663</v>
      </c>
      <c r="AK12" s="9" t="s">
        <v>230</v>
      </c>
      <c r="AL12" s="8">
        <v>1272000</v>
      </c>
      <c r="AM12" s="8">
        <v>375000</v>
      </c>
      <c r="AN12" s="8">
        <v>691666.66666666663</v>
      </c>
      <c r="AO12" s="8">
        <v>489999.99999999994</v>
      </c>
      <c r="AP12" s="8">
        <v>2828666.6666666665</v>
      </c>
      <c r="AQ12" s="8">
        <v>100</v>
      </c>
    </row>
    <row r="13" spans="4:43">
      <c r="D13" s="20">
        <v>28</v>
      </c>
      <c r="E13" s="21" t="s">
        <v>192</v>
      </c>
      <c r="F13" s="20">
        <v>27</v>
      </c>
      <c r="G13" s="21" t="s">
        <v>205</v>
      </c>
      <c r="H13" s="20">
        <v>3</v>
      </c>
      <c r="I13" s="21" t="s">
        <v>204</v>
      </c>
      <c r="J13" s="29">
        <v>103</v>
      </c>
      <c r="K13" s="29">
        <v>138445</v>
      </c>
      <c r="L13" s="29">
        <v>141576</v>
      </c>
      <c r="M13" s="29">
        <v>20</v>
      </c>
      <c r="N13" s="34">
        <f t="shared" si="0"/>
        <v>3.0075187969924814E-3</v>
      </c>
      <c r="O13" s="5">
        <f t="shared" si="1"/>
        <v>3825563.9097744361</v>
      </c>
      <c r="P13" s="5">
        <f t="shared" si="2"/>
        <v>1127819.5488721805</v>
      </c>
      <c r="Q13" s="5">
        <f t="shared" si="3"/>
        <v>2080200.5012531329</v>
      </c>
      <c r="R13" s="5">
        <f t="shared" si="4"/>
        <v>1473684.210526316</v>
      </c>
      <c r="S13" s="5">
        <f t="shared" si="5"/>
        <v>8507.2681704260649</v>
      </c>
      <c r="X13" s="11" t="s">
        <v>270</v>
      </c>
      <c r="Y13" s="10">
        <f>(Y12/$AC$12)*100</f>
        <v>44.968182889465005</v>
      </c>
      <c r="Z13" s="10">
        <f>(Z12/$AC$12)*100</f>
        <v>13.257129389582841</v>
      </c>
      <c r="AA13" s="10">
        <f>(AA12/$AC$12)*100</f>
        <v>24.452038651897244</v>
      </c>
      <c r="AB13" s="10">
        <f>(AB12/$AC$12)*100</f>
        <v>17.322649069054911</v>
      </c>
      <c r="AC13" s="30"/>
      <c r="AD13" s="33"/>
      <c r="AE13" s="10"/>
      <c r="AF13" s="10"/>
      <c r="AK13" s="11" t="s">
        <v>270</v>
      </c>
      <c r="AL13" s="10">
        <v>44.968182889465005</v>
      </c>
      <c r="AM13" s="10">
        <v>13.257129389582841</v>
      </c>
      <c r="AN13" s="10">
        <v>24.452038651897244</v>
      </c>
      <c r="AO13" s="10">
        <v>17.322649069054911</v>
      </c>
      <c r="AP13" s="10">
        <v>100</v>
      </c>
      <c r="AQ13" s="30"/>
    </row>
    <row r="14" spans="4:43">
      <c r="D14" s="20">
        <v>28</v>
      </c>
      <c r="E14" s="21" t="s">
        <v>192</v>
      </c>
      <c r="F14" s="20">
        <v>50</v>
      </c>
      <c r="G14" s="21" t="s">
        <v>200</v>
      </c>
      <c r="H14" s="20">
        <v>1</v>
      </c>
      <c r="I14" s="21" t="s">
        <v>203</v>
      </c>
      <c r="J14" s="29">
        <v>134</v>
      </c>
      <c r="K14" s="29">
        <v>134398</v>
      </c>
      <c r="L14" s="29">
        <v>138960</v>
      </c>
      <c r="M14" s="29">
        <v>400</v>
      </c>
      <c r="N14" s="34">
        <f t="shared" si="0"/>
        <v>6.0150375939849621E-2</v>
      </c>
      <c r="O14" s="5">
        <f t="shared" si="1"/>
        <v>76511278.195488721</v>
      </c>
      <c r="P14" s="5">
        <f t="shared" si="2"/>
        <v>22556390.977443609</v>
      </c>
      <c r="Q14" s="5">
        <f t="shared" si="3"/>
        <v>41604010.02506265</v>
      </c>
      <c r="R14" s="5">
        <f t="shared" si="4"/>
        <v>29473684.210526314</v>
      </c>
      <c r="S14" s="5">
        <f t="shared" si="5"/>
        <v>170145.36340852128</v>
      </c>
      <c r="AK14" s="141" t="s">
        <v>269</v>
      </c>
      <c r="AL14" s="141"/>
      <c r="AM14" s="141"/>
      <c r="AN14" s="141"/>
      <c r="AO14" s="141"/>
      <c r="AP14" s="141"/>
      <c r="AQ14" s="141"/>
    </row>
    <row r="15" spans="4:43">
      <c r="D15" s="20">
        <v>28</v>
      </c>
      <c r="E15" s="21" t="s">
        <v>192</v>
      </c>
      <c r="F15" s="20">
        <v>50</v>
      </c>
      <c r="G15" s="21" t="s">
        <v>200</v>
      </c>
      <c r="H15" s="20">
        <v>2</v>
      </c>
      <c r="I15" s="21" t="s">
        <v>202</v>
      </c>
      <c r="J15" s="29">
        <v>144</v>
      </c>
      <c r="K15" s="29">
        <v>186773</v>
      </c>
      <c r="L15" s="29">
        <v>191708</v>
      </c>
      <c r="M15" s="29">
        <v>550</v>
      </c>
      <c r="N15" s="34">
        <f t="shared" si="0"/>
        <v>8.2706766917293228E-2</v>
      </c>
      <c r="O15" s="5">
        <f t="shared" si="1"/>
        <v>105203007.51879698</v>
      </c>
      <c r="P15" s="5">
        <f t="shared" si="2"/>
        <v>31015037.593984962</v>
      </c>
      <c r="Q15" s="5">
        <f t="shared" si="3"/>
        <v>57205513.784461148</v>
      </c>
      <c r="R15" s="5">
        <f t="shared" si="4"/>
        <v>40526315.789473683</v>
      </c>
      <c r="S15" s="5">
        <f t="shared" si="5"/>
        <v>233949.87468671676</v>
      </c>
    </row>
    <row r="16" spans="4:43">
      <c r="D16" s="20">
        <v>28</v>
      </c>
      <c r="E16" s="21" t="s">
        <v>192</v>
      </c>
      <c r="F16" s="20">
        <v>50</v>
      </c>
      <c r="G16" s="21" t="s">
        <v>200</v>
      </c>
      <c r="H16" s="20">
        <v>3</v>
      </c>
      <c r="I16" s="21" t="s">
        <v>201</v>
      </c>
      <c r="J16" s="29">
        <v>81</v>
      </c>
      <c r="K16" s="29">
        <v>70274</v>
      </c>
      <c r="L16" s="29">
        <v>72885</v>
      </c>
      <c r="M16" s="29">
        <v>450</v>
      </c>
      <c r="N16" s="34">
        <f t="shared" si="0"/>
        <v>6.7669172932330823E-2</v>
      </c>
      <c r="O16" s="5">
        <f t="shared" si="1"/>
        <v>86075187.969924808</v>
      </c>
      <c r="P16" s="5">
        <f t="shared" si="2"/>
        <v>25375939.84962406</v>
      </c>
      <c r="Q16" s="5">
        <f t="shared" si="3"/>
        <v>46804511.278195485</v>
      </c>
      <c r="R16" s="5">
        <f t="shared" si="4"/>
        <v>33157894.736842103</v>
      </c>
      <c r="S16" s="5">
        <f t="shared" si="5"/>
        <v>191413.53383458644</v>
      </c>
    </row>
    <row r="17" spans="4:20">
      <c r="D17" s="20">
        <v>28</v>
      </c>
      <c r="E17" s="21" t="s">
        <v>192</v>
      </c>
      <c r="F17" s="20">
        <v>50</v>
      </c>
      <c r="G17" s="21" t="s">
        <v>200</v>
      </c>
      <c r="H17" s="20">
        <v>4</v>
      </c>
      <c r="I17" s="21" t="s">
        <v>199</v>
      </c>
      <c r="J17" s="29">
        <v>87</v>
      </c>
      <c r="K17" s="29">
        <v>103648</v>
      </c>
      <c r="L17" s="29">
        <v>106953</v>
      </c>
      <c r="M17" s="29">
        <v>750</v>
      </c>
      <c r="N17" s="34">
        <f t="shared" si="0"/>
        <v>0.11278195488721804</v>
      </c>
      <c r="O17" s="5">
        <f t="shared" si="1"/>
        <v>143458646.61654136</v>
      </c>
      <c r="P17" s="5">
        <f t="shared" si="2"/>
        <v>42293233.082706764</v>
      </c>
      <c r="Q17" s="5">
        <f t="shared" si="3"/>
        <v>78007518.796992466</v>
      </c>
      <c r="R17" s="5">
        <f t="shared" si="4"/>
        <v>55263157.894736841</v>
      </c>
      <c r="S17" s="5">
        <f t="shared" si="5"/>
        <v>319022.55639097746</v>
      </c>
    </row>
    <row r="18" spans="4:20">
      <c r="D18" s="20">
        <v>28</v>
      </c>
      <c r="E18" s="21" t="s">
        <v>192</v>
      </c>
      <c r="F18" s="20">
        <v>61</v>
      </c>
      <c r="G18" s="21" t="s">
        <v>196</v>
      </c>
      <c r="H18" s="20">
        <v>1</v>
      </c>
      <c r="I18" s="21" t="s">
        <v>198</v>
      </c>
      <c r="J18" s="29">
        <v>111</v>
      </c>
      <c r="K18" s="29">
        <v>85380</v>
      </c>
      <c r="L18" s="29">
        <v>87795</v>
      </c>
      <c r="M18" s="29">
        <v>400</v>
      </c>
      <c r="N18" s="34">
        <f t="shared" si="0"/>
        <v>6.0150375939849621E-2</v>
      </c>
      <c r="O18" s="5">
        <f t="shared" si="1"/>
        <v>76511278.195488721</v>
      </c>
      <c r="P18" s="5">
        <f t="shared" si="2"/>
        <v>22556390.977443609</v>
      </c>
      <c r="Q18" s="5">
        <f t="shared" si="3"/>
        <v>41604010.02506265</v>
      </c>
      <c r="R18" s="5">
        <f t="shared" si="4"/>
        <v>29473684.210526314</v>
      </c>
      <c r="S18" s="5">
        <f t="shared" si="5"/>
        <v>170145.36340852128</v>
      </c>
    </row>
    <row r="19" spans="4:20">
      <c r="D19" s="20">
        <v>28</v>
      </c>
      <c r="E19" s="21" t="s">
        <v>192</v>
      </c>
      <c r="F19" s="20">
        <v>61</v>
      </c>
      <c r="G19" s="21" t="s">
        <v>196</v>
      </c>
      <c r="H19" s="20">
        <v>2</v>
      </c>
      <c r="I19" s="21" t="s">
        <v>197</v>
      </c>
      <c r="J19" s="29">
        <v>123</v>
      </c>
      <c r="K19" s="29">
        <v>108122</v>
      </c>
      <c r="L19" s="29">
        <v>111212</v>
      </c>
      <c r="M19" s="29">
        <v>800</v>
      </c>
      <c r="N19" s="34">
        <f t="shared" si="0"/>
        <v>0.12030075187969924</v>
      </c>
      <c r="O19" s="5">
        <f t="shared" si="1"/>
        <v>153022556.39097744</v>
      </c>
      <c r="P19" s="5">
        <f t="shared" si="2"/>
        <v>45112781.954887219</v>
      </c>
      <c r="Q19" s="5">
        <f t="shared" si="3"/>
        <v>83208020.050125301</v>
      </c>
      <c r="R19" s="5">
        <f t="shared" si="4"/>
        <v>58947368.421052627</v>
      </c>
      <c r="S19" s="5">
        <f t="shared" si="5"/>
        <v>340290.72681704257</v>
      </c>
    </row>
    <row r="20" spans="4:20" ht="25.5">
      <c r="D20" s="20">
        <v>28</v>
      </c>
      <c r="E20" s="21" t="s">
        <v>192</v>
      </c>
      <c r="F20" s="20">
        <v>61</v>
      </c>
      <c r="G20" s="21" t="s">
        <v>196</v>
      </c>
      <c r="H20" s="20">
        <v>3</v>
      </c>
      <c r="I20" s="21" t="s">
        <v>195</v>
      </c>
      <c r="J20" s="29">
        <v>151</v>
      </c>
      <c r="K20" s="29">
        <v>84973</v>
      </c>
      <c r="L20" s="29">
        <v>87272</v>
      </c>
      <c r="M20" s="29">
        <v>100</v>
      </c>
      <c r="N20" s="34">
        <f t="shared" si="0"/>
        <v>1.5037593984962405E-2</v>
      </c>
      <c r="O20" s="5">
        <f t="shared" si="1"/>
        <v>19127819.54887218</v>
      </c>
      <c r="P20" s="5">
        <f t="shared" si="2"/>
        <v>5639097.7443609023</v>
      </c>
      <c r="Q20" s="5">
        <f t="shared" si="3"/>
        <v>10401002.506265663</v>
      </c>
      <c r="R20" s="5">
        <f t="shared" si="4"/>
        <v>7368421.0526315784</v>
      </c>
      <c r="S20" s="5">
        <f t="shared" si="5"/>
        <v>42536.340852130321</v>
      </c>
    </row>
    <row r="21" spans="4:20" ht="25.5">
      <c r="D21" s="20">
        <v>28</v>
      </c>
      <c r="E21" s="21" t="s">
        <v>192</v>
      </c>
      <c r="F21" s="20">
        <v>76</v>
      </c>
      <c r="G21" s="21" t="s">
        <v>191</v>
      </c>
      <c r="H21" s="20">
        <v>1</v>
      </c>
      <c r="I21" s="21" t="s">
        <v>194</v>
      </c>
      <c r="J21" s="29">
        <v>343</v>
      </c>
      <c r="K21" s="29">
        <v>232723</v>
      </c>
      <c r="L21" s="29">
        <v>238071</v>
      </c>
      <c r="M21" s="29">
        <v>400</v>
      </c>
      <c r="N21" s="34">
        <f t="shared" si="0"/>
        <v>6.0150375939849621E-2</v>
      </c>
      <c r="O21" s="5">
        <f t="shared" si="1"/>
        <v>76511278.195488721</v>
      </c>
      <c r="P21" s="5">
        <f t="shared" si="2"/>
        <v>22556390.977443609</v>
      </c>
      <c r="Q21" s="5">
        <f t="shared" si="3"/>
        <v>41604010.02506265</v>
      </c>
      <c r="R21" s="5">
        <f t="shared" si="4"/>
        <v>29473684.210526314</v>
      </c>
      <c r="S21" s="5">
        <f t="shared" si="5"/>
        <v>170145.36340852128</v>
      </c>
    </row>
    <row r="22" spans="4:20" ht="25.5">
      <c r="D22" s="20">
        <v>28</v>
      </c>
      <c r="E22" s="21" t="s">
        <v>192</v>
      </c>
      <c r="F22" s="20">
        <v>76</v>
      </c>
      <c r="G22" s="21" t="s">
        <v>191</v>
      </c>
      <c r="H22" s="20">
        <v>2</v>
      </c>
      <c r="I22" s="21" t="s">
        <v>193</v>
      </c>
      <c r="J22" s="29">
        <v>149</v>
      </c>
      <c r="K22" s="29">
        <v>383415</v>
      </c>
      <c r="L22" s="29">
        <v>388909</v>
      </c>
      <c r="M22" s="29">
        <v>400</v>
      </c>
      <c r="N22" s="34">
        <f t="shared" si="0"/>
        <v>6.0150375939849621E-2</v>
      </c>
      <c r="O22" s="5">
        <f t="shared" si="1"/>
        <v>76511278.195488721</v>
      </c>
      <c r="P22" s="5">
        <f t="shared" si="2"/>
        <v>22556390.977443609</v>
      </c>
      <c r="Q22" s="5">
        <f t="shared" si="3"/>
        <v>41604010.02506265</v>
      </c>
      <c r="R22" s="5">
        <f t="shared" si="4"/>
        <v>29473684.210526314</v>
      </c>
      <c r="S22" s="5">
        <f t="shared" si="5"/>
        <v>170145.36340852128</v>
      </c>
    </row>
    <row r="23" spans="4:20" ht="25.5">
      <c r="D23" s="20">
        <v>28</v>
      </c>
      <c r="E23" s="21" t="s">
        <v>192</v>
      </c>
      <c r="F23" s="20">
        <v>76</v>
      </c>
      <c r="G23" s="21" t="s">
        <v>191</v>
      </c>
      <c r="H23" s="20">
        <v>3</v>
      </c>
      <c r="I23" s="21" t="s">
        <v>190</v>
      </c>
      <c r="J23" s="29">
        <v>216</v>
      </c>
      <c r="K23" s="29">
        <v>638601</v>
      </c>
      <c r="L23" s="29">
        <v>648402</v>
      </c>
      <c r="M23" s="29">
        <v>200</v>
      </c>
      <c r="N23" s="34">
        <f t="shared" si="0"/>
        <v>3.007518796992481E-2</v>
      </c>
      <c r="O23" s="5">
        <f t="shared" si="1"/>
        <v>38255639.097744361</v>
      </c>
      <c r="P23" s="5">
        <f t="shared" si="2"/>
        <v>11278195.488721805</v>
      </c>
      <c r="Q23" s="5">
        <f t="shared" si="3"/>
        <v>20802005.012531325</v>
      </c>
      <c r="R23" s="5">
        <f t="shared" si="4"/>
        <v>14736842.105263157</v>
      </c>
      <c r="S23" s="5">
        <f t="shared" si="5"/>
        <v>85072.681704260642</v>
      </c>
    </row>
    <row r="25" spans="4:20" hidden="1">
      <c r="M25" s="13">
        <f t="shared" ref="M25:S25" si="8">SUM(M7:M23)</f>
        <v>6650</v>
      </c>
      <c r="N25" s="13">
        <f t="shared" si="8"/>
        <v>0.99999999999999989</v>
      </c>
      <c r="O25" s="13">
        <f t="shared" si="8"/>
        <v>1272000000</v>
      </c>
      <c r="P25" s="13">
        <f t="shared" si="8"/>
        <v>375000000.00000006</v>
      </c>
      <c r="Q25" s="13">
        <f t="shared" si="8"/>
        <v>691666666.66666651</v>
      </c>
      <c r="R25" s="13">
        <f t="shared" si="8"/>
        <v>489999999.99999988</v>
      </c>
      <c r="S25" s="13">
        <f t="shared" si="8"/>
        <v>2828666.666666666</v>
      </c>
      <c r="T25" s="13"/>
    </row>
    <row r="26" spans="4:20" hidden="1">
      <c r="J26" s="5" t="s">
        <v>293</v>
      </c>
      <c r="K26" s="5" t="s">
        <v>183</v>
      </c>
    </row>
    <row r="27" spans="4:20" hidden="1">
      <c r="H27" s="5" t="s">
        <v>292</v>
      </c>
      <c r="J27" s="5">
        <v>125216</v>
      </c>
      <c r="K27" s="6">
        <f>(J27*1000)*4</f>
        <v>500864000</v>
      </c>
    </row>
    <row r="28" spans="4:20" hidden="1">
      <c r="H28" s="5" t="s">
        <v>291</v>
      </c>
      <c r="J28" s="5">
        <v>150000</v>
      </c>
      <c r="K28" s="6">
        <f>(J28*1000)*E33</f>
        <v>375000000</v>
      </c>
    </row>
    <row r="29" spans="4:20" hidden="1">
      <c r="H29" s="5" t="s">
        <v>290</v>
      </c>
      <c r="J29" s="5">
        <v>159000</v>
      </c>
      <c r="K29" s="6">
        <f>(J29*1000)*8</f>
        <v>1272000000</v>
      </c>
    </row>
    <row r="30" spans="4:20" hidden="1">
      <c r="H30" s="6" t="s">
        <v>288</v>
      </c>
      <c r="J30" s="5">
        <v>249000</v>
      </c>
      <c r="K30" s="6">
        <f>(J30*1000)*E32</f>
        <v>691666666.66666663</v>
      </c>
    </row>
    <row r="31" spans="4:20" hidden="1">
      <c r="H31" s="6" t="s">
        <v>282</v>
      </c>
      <c r="J31" s="5">
        <v>122500</v>
      </c>
      <c r="K31" s="6">
        <f>(J31*1000)*4</f>
        <v>490000000</v>
      </c>
    </row>
    <row r="32" spans="4:20" hidden="1">
      <c r="E32" s="5">
        <f>1/0.36</f>
        <v>2.7777777777777777</v>
      </c>
    </row>
    <row r="33" spans="5:41" hidden="1">
      <c r="E33" s="5">
        <f>1/0.4</f>
        <v>2.5</v>
      </c>
    </row>
    <row r="34" spans="5:41" hidden="1">
      <c r="H34" s="5" t="s">
        <v>281</v>
      </c>
      <c r="I34" s="5" t="s">
        <v>280</v>
      </c>
      <c r="AK34" s="5">
        <v>0.05</v>
      </c>
      <c r="AL34" s="5">
        <v>0.06</v>
      </c>
      <c r="AM34" s="5">
        <v>7.0000000000000007E-2</v>
      </c>
      <c r="AN34" s="5">
        <v>0.08</v>
      </c>
      <c r="AO34" s="5">
        <v>0.1</v>
      </c>
    </row>
    <row r="35" spans="5:41" hidden="1">
      <c r="G35" s="5" t="s">
        <v>181</v>
      </c>
      <c r="H35" s="5">
        <v>1110</v>
      </c>
      <c r="I35" s="5">
        <f>H35/$H$41</f>
        <v>0.16371681415929204</v>
      </c>
    </row>
    <row r="36" spans="5:41" hidden="1">
      <c r="G36" s="5" t="s">
        <v>205</v>
      </c>
      <c r="H36" s="5">
        <v>400</v>
      </c>
      <c r="I36" s="5">
        <f>H36/$H$41</f>
        <v>5.8997050147492625E-2</v>
      </c>
    </row>
    <row r="37" spans="5:41" hidden="1">
      <c r="G37" s="5" t="s">
        <v>200</v>
      </c>
      <c r="H37" s="5">
        <v>2800</v>
      </c>
      <c r="I37" s="5">
        <f>H37/$H$41</f>
        <v>0.41297935103244837</v>
      </c>
    </row>
    <row r="38" spans="5:41" hidden="1">
      <c r="G38" s="5" t="s">
        <v>272</v>
      </c>
      <c r="H38" s="5">
        <v>1300</v>
      </c>
      <c r="I38" s="5">
        <f>H38/$H$41</f>
        <v>0.19174041297935104</v>
      </c>
    </row>
    <row r="39" spans="5:41" hidden="1">
      <c r="G39" s="5" t="s">
        <v>271</v>
      </c>
      <c r="H39" s="5">
        <v>1170</v>
      </c>
      <c r="I39" s="5">
        <f>H39/$H$41</f>
        <v>0.17256637168141592</v>
      </c>
    </row>
    <row r="40" spans="5:41" hidden="1">
      <c r="U40" s="31"/>
      <c r="V40" s="31"/>
      <c r="W40" s="31"/>
      <c r="X40" s="31"/>
      <c r="Y40" s="31"/>
      <c r="Z40" s="31"/>
      <c r="AA40" s="31"/>
      <c r="AB40" s="31"/>
      <c r="AC40" s="31"/>
      <c r="AD40" s="31"/>
      <c r="AE40" s="31"/>
      <c r="AF40" s="31"/>
      <c r="AG40" s="31"/>
    </row>
    <row r="41" spans="5:41" ht="18" hidden="1" customHeight="1">
      <c r="G41" s="5" t="s">
        <v>173</v>
      </c>
      <c r="H41" s="5">
        <f>SUM(H35:H39)</f>
        <v>6780</v>
      </c>
      <c r="I41" s="5">
        <f>SUM(I35:I39)</f>
        <v>1</v>
      </c>
      <c r="U41" s="31"/>
      <c r="V41" s="32"/>
      <c r="W41" s="32"/>
      <c r="X41" s="32"/>
      <c r="Y41" s="32"/>
      <c r="Z41" s="32"/>
      <c r="AA41" s="32"/>
      <c r="AB41" s="32"/>
    </row>
    <row r="42" spans="5:41" hidden="1">
      <c r="U42" s="31"/>
      <c r="V42" s="31"/>
      <c r="W42" s="31"/>
      <c r="X42" s="31"/>
      <c r="Y42" s="31"/>
      <c r="Z42" s="31"/>
      <c r="AA42" s="31"/>
      <c r="AB42" s="31"/>
    </row>
    <row r="43" spans="5:41" hidden="1"/>
    <row r="44" spans="5:41" ht="14.25" hidden="1" customHeight="1"/>
    <row r="45" spans="5:41" hidden="1"/>
    <row r="46" spans="5:41" hidden="1"/>
    <row r="47" spans="5:41" hidden="1"/>
    <row r="48" spans="5:41"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sheetData>
  <sheetProtection sheet="1" objects="1" scenarios="1"/>
  <mergeCells count="3">
    <mergeCell ref="X5:AI5"/>
    <mergeCell ref="AK5:AQ5"/>
    <mergeCell ref="AK14:AQ14"/>
  </mergeCells>
  <pageMargins left="0.7" right="0.7" top="0.75" bottom="0.75" header="0.3" footer="0.3"/>
  <pageSetup paperSize="9" orientation="portrait"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05905-BF25-4E55-A3B7-CAFCF855DBD0}">
  <sheetPr codeName="Feuil12"/>
  <dimension ref="D5:BC63"/>
  <sheetViews>
    <sheetView topLeftCell="B1" zoomScale="55" zoomScaleNormal="55" workbookViewId="0">
      <selection activeCell="D7" sqref="D7:Z24"/>
    </sheetView>
  </sheetViews>
  <sheetFormatPr baseColWidth="10" defaultRowHeight="15"/>
  <cols>
    <col min="1" max="4" width="11" style="5"/>
    <col min="5" max="5" width="12.125" style="72" customWidth="1"/>
    <col min="6" max="9" width="11" style="5"/>
    <col min="10" max="10" width="14.5" style="5" customWidth="1"/>
    <col min="11" max="14" width="11" style="5"/>
    <col min="15" max="26" width="11" style="6"/>
    <col min="27" max="28" width="0" style="6" hidden="1" customWidth="1"/>
    <col min="29" max="29" width="21.125" style="6" bestFit="1" customWidth="1"/>
    <col min="30" max="31" width="11" style="6"/>
    <col min="32" max="33" width="11" style="5"/>
    <col min="34" max="34" width="12.875" style="5" customWidth="1"/>
    <col min="35" max="36" width="11" style="5"/>
    <col min="37" max="37" width="10.125" style="5" customWidth="1"/>
    <col min="38" max="38" width="9.75" style="5" customWidth="1"/>
    <col min="39" max="39" width="12.5" style="5" customWidth="1"/>
    <col min="40" max="44" width="11" style="5"/>
    <col min="45" max="45" width="14.125" style="5" customWidth="1"/>
    <col min="46" max="16384" width="11" style="5"/>
  </cols>
  <sheetData>
    <row r="5" spans="4:55">
      <c r="AO5" s="164" t="s">
        <v>497</v>
      </c>
      <c r="AP5" s="165"/>
      <c r="AQ5" s="165"/>
      <c r="AR5" s="165"/>
      <c r="AS5" s="165"/>
      <c r="AT5" s="165"/>
      <c r="AU5" s="165"/>
      <c r="AW5" s="142" t="s">
        <v>497</v>
      </c>
      <c r="AX5" s="142"/>
      <c r="AY5" s="142"/>
      <c r="AZ5" s="142"/>
      <c r="BA5" s="142"/>
      <c r="BB5" s="142"/>
      <c r="BC5" s="142"/>
    </row>
    <row r="6" spans="4:55" ht="90">
      <c r="D6" s="53" t="s">
        <v>229</v>
      </c>
      <c r="E6" s="53" t="s">
        <v>228</v>
      </c>
      <c r="F6" s="53" t="s">
        <v>227</v>
      </c>
      <c r="G6" s="53" t="s">
        <v>226</v>
      </c>
      <c r="H6" s="53" t="s">
        <v>225</v>
      </c>
      <c r="I6" s="53" t="s">
        <v>268</v>
      </c>
      <c r="J6" s="53" t="s">
        <v>224</v>
      </c>
      <c r="K6" s="53" t="s">
        <v>223</v>
      </c>
      <c r="L6" s="53" t="s">
        <v>222</v>
      </c>
      <c r="M6" s="53" t="s">
        <v>520</v>
      </c>
      <c r="N6" s="53" t="s">
        <v>519</v>
      </c>
      <c r="O6" s="53" t="s">
        <v>485</v>
      </c>
      <c r="P6" s="53" t="s">
        <v>484</v>
      </c>
      <c r="Q6" s="53" t="s">
        <v>287</v>
      </c>
      <c r="R6" s="53" t="s">
        <v>286</v>
      </c>
      <c r="S6" s="53" t="s">
        <v>285</v>
      </c>
      <c r="T6" s="53" t="s">
        <v>213</v>
      </c>
      <c r="U6" s="53" t="s">
        <v>212</v>
      </c>
      <c r="V6" s="53" t="s">
        <v>483</v>
      </c>
      <c r="W6" s="35" t="s">
        <v>518</v>
      </c>
      <c r="X6" s="35" t="s">
        <v>517</v>
      </c>
      <c r="Y6" s="35" t="s">
        <v>516</v>
      </c>
      <c r="Z6" s="35" t="s">
        <v>515</v>
      </c>
      <c r="AA6" s="35" t="s">
        <v>213</v>
      </c>
      <c r="AB6" s="35" t="s">
        <v>212</v>
      </c>
      <c r="AC6" s="23"/>
      <c r="AD6" s="23"/>
      <c r="AE6" s="12" t="s">
        <v>144</v>
      </c>
      <c r="AF6" s="12" t="s">
        <v>485</v>
      </c>
      <c r="AG6" s="12" t="s">
        <v>484</v>
      </c>
      <c r="AH6" s="12" t="s">
        <v>287</v>
      </c>
      <c r="AI6" s="12" t="s">
        <v>286</v>
      </c>
      <c r="AJ6" s="12" t="s">
        <v>285</v>
      </c>
      <c r="AK6" s="12" t="s">
        <v>284</v>
      </c>
      <c r="AL6" s="12" t="s">
        <v>283</v>
      </c>
      <c r="AM6" s="12" t="s">
        <v>483</v>
      </c>
      <c r="AO6" s="35"/>
      <c r="AP6" s="35" t="s">
        <v>496</v>
      </c>
      <c r="AQ6" s="35" t="s">
        <v>495</v>
      </c>
      <c r="AR6" s="35" t="s">
        <v>494</v>
      </c>
      <c r="AS6" s="35" t="s">
        <v>493</v>
      </c>
      <c r="AT6" s="35" t="s">
        <v>492</v>
      </c>
      <c r="AU6" s="35" t="s">
        <v>164</v>
      </c>
      <c r="AW6" s="35"/>
      <c r="AX6" s="35" t="s">
        <v>496</v>
      </c>
      <c r="AY6" s="35" t="s">
        <v>495</v>
      </c>
      <c r="AZ6" s="35" t="s">
        <v>494</v>
      </c>
      <c r="BA6" s="35" t="s">
        <v>493</v>
      </c>
      <c r="BB6" s="35" t="s">
        <v>492</v>
      </c>
      <c r="BC6" s="35" t="s">
        <v>164</v>
      </c>
    </row>
    <row r="7" spans="4:55" ht="30">
      <c r="D7" s="118">
        <v>28</v>
      </c>
      <c r="E7" s="119" t="s">
        <v>192</v>
      </c>
      <c r="F7" s="118">
        <v>14</v>
      </c>
      <c r="G7" s="19" t="s">
        <v>181</v>
      </c>
      <c r="H7" s="118">
        <v>1</v>
      </c>
      <c r="I7" s="19" t="s">
        <v>211</v>
      </c>
      <c r="J7" s="18">
        <v>123</v>
      </c>
      <c r="K7" s="18">
        <v>73516</v>
      </c>
      <c r="L7" s="18">
        <v>74932</v>
      </c>
      <c r="M7" s="18">
        <v>53</v>
      </c>
      <c r="N7" s="11">
        <f t="shared" ref="N7:N23" si="0">M7/$M$24</f>
        <v>4.2536115569823438E-2</v>
      </c>
      <c r="O7" s="10">
        <f t="shared" ref="O7:P23" si="1">$N7*O$26</f>
        <v>4762.6837881219908</v>
      </c>
      <c r="P7" s="10">
        <f t="shared" si="1"/>
        <v>3231.3836276083471</v>
      </c>
      <c r="Q7" s="10">
        <f t="shared" ref="Q7:Q23" si="2">($O7-$P7)*0.05</f>
        <v>76.565008025682189</v>
      </c>
      <c r="R7" s="10">
        <f t="shared" ref="R7:R23" si="3">($O7-$P7)*0.06</f>
        <v>91.878009630818624</v>
      </c>
      <c r="S7" s="10">
        <f t="shared" ref="S7:S23" si="4">($O7-$P7)*0.067</f>
        <v>102.59711075441413</v>
      </c>
      <c r="T7" s="10">
        <f t="shared" ref="T7:T23" si="5">($S7+0.01*$S7)+$P7*0.05</f>
        <v>265.19226324237565</v>
      </c>
      <c r="U7" s="10">
        <f t="shared" ref="U7:U23" si="6">$O7*0.1</f>
        <v>476.2683788121991</v>
      </c>
      <c r="V7" s="10">
        <f t="shared" ref="V7:V23" si="7">$P7*0.1</f>
        <v>323.13836276083475</v>
      </c>
      <c r="W7" s="10">
        <f t="shared" ref="W7:W23" si="8">O7/0.75</f>
        <v>6350.2450508293214</v>
      </c>
      <c r="X7" s="10">
        <f t="shared" ref="X7:X23" si="9">O7*0.4</f>
        <v>1905.0735152487964</v>
      </c>
      <c r="Y7" s="10"/>
      <c r="Z7" s="10">
        <f t="shared" ref="Z7:Z23" si="10">X7/0.75</f>
        <v>2540.0980203317285</v>
      </c>
      <c r="AE7" s="19" t="s">
        <v>211</v>
      </c>
      <c r="AF7" s="10">
        <v>4762.6837881219908</v>
      </c>
      <c r="AG7" s="10">
        <v>3231.3836276083471</v>
      </c>
      <c r="AH7" s="10">
        <v>76.565008025682189</v>
      </c>
      <c r="AI7" s="10">
        <v>91.878009630818624</v>
      </c>
      <c r="AJ7" s="10">
        <v>102.59711075441413</v>
      </c>
      <c r="AK7" s="10">
        <v>265.19226324237565</v>
      </c>
      <c r="AL7" s="10">
        <v>476.2683788121991</v>
      </c>
      <c r="AM7" s="10">
        <v>323.13836276083475</v>
      </c>
      <c r="AO7" s="77" t="s">
        <v>491</v>
      </c>
      <c r="AP7" s="11">
        <f t="shared" ref="AP7:AT10" si="11">F33*1000</f>
        <v>500</v>
      </c>
      <c r="AQ7" s="11">
        <f t="shared" si="11"/>
        <v>40000</v>
      </c>
      <c r="AR7" s="11">
        <f t="shared" si="11"/>
        <v>3300</v>
      </c>
      <c r="AS7" s="11">
        <f t="shared" si="11"/>
        <v>500</v>
      </c>
      <c r="AT7" s="11">
        <f t="shared" si="11"/>
        <v>0</v>
      </c>
      <c r="AU7" s="11">
        <f t="shared" ref="AU7:AU13" si="12">SUM(AP7:AT7)</f>
        <v>44300</v>
      </c>
      <c r="AW7" s="77" t="s">
        <v>491</v>
      </c>
      <c r="AX7" s="11">
        <v>500</v>
      </c>
      <c r="AY7" s="11">
        <v>40000</v>
      </c>
      <c r="AZ7" s="11">
        <v>3300</v>
      </c>
      <c r="BA7" s="11">
        <v>500</v>
      </c>
      <c r="BB7" s="11">
        <v>0</v>
      </c>
      <c r="BC7" s="11">
        <v>44300</v>
      </c>
    </row>
    <row r="8" spans="4:55">
      <c r="D8" s="118">
        <v>28</v>
      </c>
      <c r="E8" s="119" t="s">
        <v>192</v>
      </c>
      <c r="F8" s="118">
        <v>14</v>
      </c>
      <c r="G8" s="19" t="s">
        <v>181</v>
      </c>
      <c r="H8" s="118">
        <v>2</v>
      </c>
      <c r="I8" s="19" t="s">
        <v>210</v>
      </c>
      <c r="J8" s="18">
        <v>201</v>
      </c>
      <c r="K8" s="18">
        <v>393027</v>
      </c>
      <c r="L8" s="18">
        <v>399850</v>
      </c>
      <c r="M8" s="18">
        <v>50</v>
      </c>
      <c r="N8" s="11">
        <f t="shared" si="0"/>
        <v>4.0128410914927769E-2</v>
      </c>
      <c r="O8" s="10">
        <f t="shared" si="1"/>
        <v>4493.0979133226328</v>
      </c>
      <c r="P8" s="10">
        <f t="shared" si="1"/>
        <v>3048.4751203852329</v>
      </c>
      <c r="Q8" s="10">
        <f t="shared" si="2"/>
        <v>72.231139646870005</v>
      </c>
      <c r="R8" s="10">
        <f t="shared" si="3"/>
        <v>86.677367576243995</v>
      </c>
      <c r="S8" s="10">
        <f t="shared" si="4"/>
        <v>96.789727126805801</v>
      </c>
      <c r="T8" s="10">
        <f t="shared" si="5"/>
        <v>250.1813804173355</v>
      </c>
      <c r="U8" s="10">
        <f t="shared" si="6"/>
        <v>449.30979133226333</v>
      </c>
      <c r="V8" s="10">
        <f t="shared" si="7"/>
        <v>304.84751203852329</v>
      </c>
      <c r="W8" s="10">
        <f t="shared" si="8"/>
        <v>5990.7972177635102</v>
      </c>
      <c r="X8" s="10">
        <f t="shared" si="9"/>
        <v>1797.2391653290533</v>
      </c>
      <c r="Y8" s="10"/>
      <c r="Z8" s="10">
        <f t="shared" si="10"/>
        <v>2396.3188871054044</v>
      </c>
      <c r="AE8" s="19" t="s">
        <v>210</v>
      </c>
      <c r="AF8" s="10">
        <v>4493.0979133226328</v>
      </c>
      <c r="AG8" s="10">
        <v>3048.4751203852329</v>
      </c>
      <c r="AH8" s="10">
        <v>72.231139646870005</v>
      </c>
      <c r="AI8" s="10">
        <v>86.677367576243995</v>
      </c>
      <c r="AJ8" s="10">
        <v>96.789727126805801</v>
      </c>
      <c r="AK8" s="10">
        <v>250.1813804173355</v>
      </c>
      <c r="AL8" s="10">
        <v>449.30979133226333</v>
      </c>
      <c r="AM8" s="10">
        <v>304.84751203852329</v>
      </c>
      <c r="AO8" s="77" t="s">
        <v>490</v>
      </c>
      <c r="AP8" s="11">
        <f t="shared" si="11"/>
        <v>720</v>
      </c>
      <c r="AQ8" s="11">
        <f t="shared" si="11"/>
        <v>0</v>
      </c>
      <c r="AR8" s="11">
        <f t="shared" si="11"/>
        <v>0</v>
      </c>
      <c r="AS8" s="11">
        <f t="shared" si="11"/>
        <v>0</v>
      </c>
      <c r="AT8" s="11">
        <f t="shared" si="11"/>
        <v>0</v>
      </c>
      <c r="AU8" s="11">
        <f t="shared" si="12"/>
        <v>720</v>
      </c>
      <c r="AW8" s="77" t="s">
        <v>490</v>
      </c>
      <c r="AX8" s="11">
        <v>720</v>
      </c>
      <c r="AY8" s="11">
        <v>0</v>
      </c>
      <c r="AZ8" s="11">
        <v>0</v>
      </c>
      <c r="BA8" s="11">
        <v>0</v>
      </c>
      <c r="BB8" s="11">
        <v>0</v>
      </c>
      <c r="BC8" s="11">
        <v>720</v>
      </c>
    </row>
    <row r="9" spans="4:55">
      <c r="D9" s="118">
        <v>28</v>
      </c>
      <c r="E9" s="119" t="s">
        <v>192</v>
      </c>
      <c r="F9" s="118">
        <v>14</v>
      </c>
      <c r="G9" s="19" t="s">
        <v>181</v>
      </c>
      <c r="H9" s="118">
        <v>3</v>
      </c>
      <c r="I9" s="19" t="s">
        <v>209</v>
      </c>
      <c r="J9" s="18">
        <v>160</v>
      </c>
      <c r="K9" s="18">
        <v>159810</v>
      </c>
      <c r="L9" s="18">
        <v>163468</v>
      </c>
      <c r="M9" s="18">
        <v>194</v>
      </c>
      <c r="N9" s="11">
        <f t="shared" si="0"/>
        <v>0.15569823434991975</v>
      </c>
      <c r="O9" s="10">
        <f t="shared" si="1"/>
        <v>17433.219903691814</v>
      </c>
      <c r="P9" s="10">
        <f t="shared" si="1"/>
        <v>11828.083467094704</v>
      </c>
      <c r="Q9" s="10">
        <f t="shared" si="2"/>
        <v>280.25682182985548</v>
      </c>
      <c r="R9" s="10">
        <f t="shared" si="3"/>
        <v>336.30818619582658</v>
      </c>
      <c r="S9" s="10">
        <f t="shared" si="4"/>
        <v>375.54414125200634</v>
      </c>
      <c r="T9" s="10">
        <f t="shared" si="5"/>
        <v>970.70375601926162</v>
      </c>
      <c r="U9" s="10">
        <f t="shared" si="6"/>
        <v>1743.3219903691815</v>
      </c>
      <c r="V9" s="10">
        <f t="shared" si="7"/>
        <v>1182.8083467094705</v>
      </c>
      <c r="W9" s="10">
        <f t="shared" si="8"/>
        <v>23244.293204922418</v>
      </c>
      <c r="X9" s="10">
        <f t="shared" si="9"/>
        <v>6973.2879614767262</v>
      </c>
      <c r="Y9" s="10"/>
      <c r="Z9" s="10">
        <f t="shared" si="10"/>
        <v>9297.7172819689677</v>
      </c>
      <c r="AE9" s="19" t="s">
        <v>209</v>
      </c>
      <c r="AF9" s="10">
        <v>17433.219903691814</v>
      </c>
      <c r="AG9" s="10">
        <v>11828.083467094704</v>
      </c>
      <c r="AH9" s="10">
        <v>280.25682182985548</v>
      </c>
      <c r="AI9" s="10">
        <v>336.30818619582658</v>
      </c>
      <c r="AJ9" s="10">
        <v>375.54414125200634</v>
      </c>
      <c r="AK9" s="10">
        <v>970.70375601926162</v>
      </c>
      <c r="AL9" s="10">
        <v>1743.3219903691815</v>
      </c>
      <c r="AM9" s="10">
        <v>1182.8083467094705</v>
      </c>
      <c r="AO9" s="76" t="s">
        <v>181</v>
      </c>
      <c r="AP9" s="11">
        <f t="shared" si="11"/>
        <v>5500</v>
      </c>
      <c r="AQ9" s="11">
        <f t="shared" si="11"/>
        <v>0</v>
      </c>
      <c r="AR9" s="11">
        <f t="shared" si="11"/>
        <v>0</v>
      </c>
      <c r="AS9" s="11">
        <f t="shared" si="11"/>
        <v>0</v>
      </c>
      <c r="AT9" s="11">
        <f t="shared" si="11"/>
        <v>0</v>
      </c>
      <c r="AU9" s="11">
        <f t="shared" si="12"/>
        <v>5500</v>
      </c>
      <c r="AW9" s="76" t="s">
        <v>181</v>
      </c>
      <c r="AX9" s="11">
        <v>5500</v>
      </c>
      <c r="AY9" s="11">
        <v>0</v>
      </c>
      <c r="AZ9" s="11">
        <v>0</v>
      </c>
      <c r="BA9" s="11">
        <v>0</v>
      </c>
      <c r="BB9" s="11">
        <v>0</v>
      </c>
      <c r="BC9" s="11">
        <v>5500</v>
      </c>
    </row>
    <row r="10" spans="4:55">
      <c r="D10" s="118">
        <v>28</v>
      </c>
      <c r="E10" s="119" t="s">
        <v>192</v>
      </c>
      <c r="F10" s="118">
        <v>14</v>
      </c>
      <c r="G10" s="19" t="s">
        <v>181</v>
      </c>
      <c r="H10" s="118">
        <v>4</v>
      </c>
      <c r="I10" s="19" t="s">
        <v>208</v>
      </c>
      <c r="J10" s="18">
        <v>44</v>
      </c>
      <c r="K10" s="18">
        <v>71194</v>
      </c>
      <c r="L10" s="18">
        <v>73131</v>
      </c>
      <c r="M10" s="18">
        <v>49</v>
      </c>
      <c r="N10" s="11">
        <f t="shared" si="0"/>
        <v>3.9325842696629212E-2</v>
      </c>
      <c r="O10" s="10">
        <f t="shared" si="1"/>
        <v>4403.2359550561796</v>
      </c>
      <c r="P10" s="10">
        <f t="shared" si="1"/>
        <v>2987.5056179775279</v>
      </c>
      <c r="Q10" s="10">
        <f t="shared" si="2"/>
        <v>70.786516853932582</v>
      </c>
      <c r="R10" s="10">
        <f t="shared" si="3"/>
        <v>84.943820224719104</v>
      </c>
      <c r="S10" s="10">
        <f t="shared" si="4"/>
        <v>94.853932584269671</v>
      </c>
      <c r="T10" s="10">
        <f t="shared" si="5"/>
        <v>245.17775280898877</v>
      </c>
      <c r="U10" s="10">
        <f t="shared" si="6"/>
        <v>440.32359550561796</v>
      </c>
      <c r="V10" s="10">
        <f t="shared" si="7"/>
        <v>298.75056179775282</v>
      </c>
      <c r="W10" s="10">
        <f t="shared" si="8"/>
        <v>5870.9812734082398</v>
      </c>
      <c r="X10" s="10">
        <f t="shared" si="9"/>
        <v>1761.2943820224718</v>
      </c>
      <c r="Y10" s="10"/>
      <c r="Z10" s="10">
        <f t="shared" si="10"/>
        <v>2348.3925093632956</v>
      </c>
      <c r="AE10" s="19" t="s">
        <v>208</v>
      </c>
      <c r="AF10" s="10">
        <v>4403.2359550561796</v>
      </c>
      <c r="AG10" s="10">
        <v>2987.5056179775279</v>
      </c>
      <c r="AH10" s="10">
        <v>70.786516853932582</v>
      </c>
      <c r="AI10" s="10">
        <v>84.943820224719104</v>
      </c>
      <c r="AJ10" s="10">
        <v>94.853932584269671</v>
      </c>
      <c r="AK10" s="10">
        <v>245.17775280898877</v>
      </c>
      <c r="AL10" s="10">
        <v>440.32359550561796</v>
      </c>
      <c r="AM10" s="10">
        <v>298.75056179775282</v>
      </c>
      <c r="AO10" s="76" t="s">
        <v>489</v>
      </c>
      <c r="AP10" s="11">
        <f t="shared" si="11"/>
        <v>24000</v>
      </c>
      <c r="AQ10" s="11">
        <f t="shared" si="11"/>
        <v>1200.0000000000002</v>
      </c>
      <c r="AR10" s="11">
        <f t="shared" si="11"/>
        <v>0</v>
      </c>
      <c r="AS10" s="11">
        <f t="shared" si="11"/>
        <v>240</v>
      </c>
      <c r="AT10" s="11">
        <f t="shared" si="11"/>
        <v>8</v>
      </c>
      <c r="AU10" s="11">
        <f t="shared" si="12"/>
        <v>25448</v>
      </c>
      <c r="AW10" s="76" t="s">
        <v>489</v>
      </c>
      <c r="AX10" s="11">
        <v>24000</v>
      </c>
      <c r="AY10" s="11">
        <v>1200.0000000000002</v>
      </c>
      <c r="AZ10" s="11">
        <v>0</v>
      </c>
      <c r="BA10" s="11">
        <v>240</v>
      </c>
      <c r="BB10" s="11">
        <v>8</v>
      </c>
      <c r="BC10" s="11">
        <v>25448</v>
      </c>
    </row>
    <row r="11" spans="4:55">
      <c r="D11" s="118">
        <v>28</v>
      </c>
      <c r="E11" s="119" t="s">
        <v>192</v>
      </c>
      <c r="F11" s="118">
        <v>27</v>
      </c>
      <c r="G11" s="19" t="s">
        <v>205</v>
      </c>
      <c r="H11" s="118">
        <v>1</v>
      </c>
      <c r="I11" s="19" t="s">
        <v>207</v>
      </c>
      <c r="J11" s="18">
        <v>185</v>
      </c>
      <c r="K11" s="18">
        <v>235416</v>
      </c>
      <c r="L11" s="18">
        <v>240268</v>
      </c>
      <c r="M11" s="18">
        <v>16</v>
      </c>
      <c r="N11" s="11">
        <f t="shared" si="0"/>
        <v>1.2841091492776886E-2</v>
      </c>
      <c r="O11" s="10">
        <f t="shared" si="1"/>
        <v>1437.7913322632423</v>
      </c>
      <c r="P11" s="10">
        <f t="shared" si="1"/>
        <v>975.51203852327444</v>
      </c>
      <c r="Q11" s="10">
        <f t="shared" si="2"/>
        <v>23.113964686998397</v>
      </c>
      <c r="R11" s="10">
        <f t="shared" si="3"/>
        <v>27.736757624398074</v>
      </c>
      <c r="S11" s="10">
        <f t="shared" si="4"/>
        <v>30.97271268057785</v>
      </c>
      <c r="T11" s="10">
        <f t="shared" si="5"/>
        <v>80.058041733547356</v>
      </c>
      <c r="U11" s="10">
        <f t="shared" si="6"/>
        <v>143.77913322632423</v>
      </c>
      <c r="V11" s="10">
        <f t="shared" si="7"/>
        <v>97.551203852327447</v>
      </c>
      <c r="W11" s="10">
        <f t="shared" si="8"/>
        <v>1917.055109684323</v>
      </c>
      <c r="X11" s="10">
        <f t="shared" si="9"/>
        <v>575.11653290529694</v>
      </c>
      <c r="Y11" s="10"/>
      <c r="Z11" s="10">
        <f t="shared" si="10"/>
        <v>766.82204387372929</v>
      </c>
      <c r="AE11" s="19" t="s">
        <v>207</v>
      </c>
      <c r="AF11" s="10">
        <v>1437.7913322632423</v>
      </c>
      <c r="AG11" s="10">
        <v>975.51203852327444</v>
      </c>
      <c r="AH11" s="10">
        <v>23.113964686998397</v>
      </c>
      <c r="AI11" s="10">
        <v>27.736757624398074</v>
      </c>
      <c r="AJ11" s="10">
        <v>30.97271268057785</v>
      </c>
      <c r="AK11" s="10">
        <v>80.058041733547356</v>
      </c>
      <c r="AL11" s="10">
        <v>143.77913322632423</v>
      </c>
      <c r="AM11" s="10">
        <v>97.551203852327447</v>
      </c>
      <c r="AO11" s="76" t="s">
        <v>488</v>
      </c>
      <c r="AP11" s="75">
        <f>W24-AP10</f>
        <v>125290.66666666666</v>
      </c>
      <c r="AQ11" s="74" t="s">
        <v>487</v>
      </c>
      <c r="AR11" s="74" t="s">
        <v>487</v>
      </c>
      <c r="AS11" s="74" t="s">
        <v>487</v>
      </c>
      <c r="AT11" s="74" t="s">
        <v>487</v>
      </c>
      <c r="AU11" s="11">
        <f t="shared" si="12"/>
        <v>125290.66666666666</v>
      </c>
      <c r="AW11" s="76" t="s">
        <v>488</v>
      </c>
      <c r="AX11" s="75">
        <v>36000.000000000007</v>
      </c>
      <c r="AY11" s="74" t="s">
        <v>487</v>
      </c>
      <c r="AZ11" s="74" t="s">
        <v>487</v>
      </c>
      <c r="BA11" s="74" t="s">
        <v>487</v>
      </c>
      <c r="BB11" s="74" t="s">
        <v>487</v>
      </c>
      <c r="BC11" s="11">
        <v>36000.000000000007</v>
      </c>
    </row>
    <row r="12" spans="4:55">
      <c r="D12" s="118">
        <v>28</v>
      </c>
      <c r="E12" s="119" t="s">
        <v>192</v>
      </c>
      <c r="F12" s="118">
        <v>27</v>
      </c>
      <c r="G12" s="19" t="s">
        <v>205</v>
      </c>
      <c r="H12" s="118">
        <v>2</v>
      </c>
      <c r="I12" s="19" t="s">
        <v>206</v>
      </c>
      <c r="J12" s="18">
        <v>297</v>
      </c>
      <c r="K12" s="18">
        <v>225807</v>
      </c>
      <c r="L12" s="18">
        <v>230922</v>
      </c>
      <c r="M12" s="18">
        <v>89</v>
      </c>
      <c r="N12" s="11">
        <f t="shared" si="0"/>
        <v>7.1428571428571425E-2</v>
      </c>
      <c r="O12" s="10">
        <f t="shared" si="1"/>
        <v>7997.7142857142853</v>
      </c>
      <c r="P12" s="10">
        <f t="shared" si="1"/>
        <v>5426.2857142857138</v>
      </c>
      <c r="Q12" s="10">
        <f t="shared" si="2"/>
        <v>128.57142857142858</v>
      </c>
      <c r="R12" s="10">
        <f t="shared" si="3"/>
        <v>154.28571428571428</v>
      </c>
      <c r="S12" s="10">
        <f t="shared" si="4"/>
        <v>172.28571428571431</v>
      </c>
      <c r="T12" s="10">
        <f t="shared" si="5"/>
        <v>445.32285714285717</v>
      </c>
      <c r="U12" s="10">
        <f t="shared" si="6"/>
        <v>799.7714285714286</v>
      </c>
      <c r="V12" s="10">
        <f t="shared" si="7"/>
        <v>542.62857142857138</v>
      </c>
      <c r="W12" s="10">
        <f t="shared" si="8"/>
        <v>10663.619047619048</v>
      </c>
      <c r="X12" s="10">
        <f t="shared" si="9"/>
        <v>3199.0857142857144</v>
      </c>
      <c r="Y12" s="10"/>
      <c r="Z12" s="10">
        <f t="shared" si="10"/>
        <v>4265.4476190476189</v>
      </c>
      <c r="AE12" s="19" t="s">
        <v>206</v>
      </c>
      <c r="AF12" s="10">
        <v>7997.7142857142853</v>
      </c>
      <c r="AG12" s="10">
        <v>5426.2857142857138</v>
      </c>
      <c r="AH12" s="10">
        <v>128.57142857142858</v>
      </c>
      <c r="AI12" s="10">
        <v>154.28571428571428</v>
      </c>
      <c r="AJ12" s="10">
        <v>172.28571428571431</v>
      </c>
      <c r="AK12" s="10">
        <v>445.32285714285717</v>
      </c>
      <c r="AL12" s="10">
        <v>799.7714285714286</v>
      </c>
      <c r="AM12" s="10">
        <v>542.62857142857138</v>
      </c>
      <c r="AO12" s="10" t="s">
        <v>154</v>
      </c>
      <c r="AP12" s="10">
        <f>SUM(AP7:AP11)</f>
        <v>156010.66666666666</v>
      </c>
      <c r="AQ12" s="10">
        <f>SUM(AQ7:AQ10)</f>
        <v>41200</v>
      </c>
      <c r="AR12" s="10">
        <f>SUM(AR7:AR10)</f>
        <v>3300</v>
      </c>
      <c r="AS12" s="10">
        <f>SUM(AS7:AS10)</f>
        <v>740</v>
      </c>
      <c r="AT12" s="10">
        <f>SUM(AT7:AT10)</f>
        <v>8</v>
      </c>
      <c r="AU12" s="11">
        <f t="shared" si="12"/>
        <v>201258.66666666666</v>
      </c>
      <c r="AW12" s="8" t="s">
        <v>154</v>
      </c>
      <c r="AX12" s="8">
        <v>66720</v>
      </c>
      <c r="AY12" s="8">
        <v>41200</v>
      </c>
      <c r="AZ12" s="8">
        <v>3300</v>
      </c>
      <c r="BA12" s="8">
        <v>740</v>
      </c>
      <c r="BB12" s="8">
        <v>8</v>
      </c>
      <c r="BC12" s="9">
        <v>111968</v>
      </c>
    </row>
    <row r="13" spans="4:55">
      <c r="D13" s="118">
        <v>28</v>
      </c>
      <c r="E13" s="119" t="s">
        <v>192</v>
      </c>
      <c r="F13" s="118">
        <v>27</v>
      </c>
      <c r="G13" s="19" t="s">
        <v>205</v>
      </c>
      <c r="H13" s="118">
        <v>3</v>
      </c>
      <c r="I13" s="19" t="s">
        <v>204</v>
      </c>
      <c r="J13" s="18">
        <v>103</v>
      </c>
      <c r="K13" s="18">
        <v>138445</v>
      </c>
      <c r="L13" s="18">
        <v>141576</v>
      </c>
      <c r="M13" s="18">
        <v>28</v>
      </c>
      <c r="N13" s="11">
        <f t="shared" si="0"/>
        <v>2.247191011235955E-2</v>
      </c>
      <c r="O13" s="10">
        <f t="shared" si="1"/>
        <v>2516.1348314606739</v>
      </c>
      <c r="P13" s="10">
        <f t="shared" si="1"/>
        <v>1707.1460674157304</v>
      </c>
      <c r="Q13" s="10">
        <f t="shared" si="2"/>
        <v>40.44943820224718</v>
      </c>
      <c r="R13" s="10">
        <f t="shared" si="3"/>
        <v>48.539325842696613</v>
      </c>
      <c r="S13" s="10">
        <f t="shared" si="4"/>
        <v>54.202247191011217</v>
      </c>
      <c r="T13" s="10">
        <f t="shared" si="5"/>
        <v>140.10157303370787</v>
      </c>
      <c r="U13" s="10">
        <f t="shared" si="6"/>
        <v>251.61348314606741</v>
      </c>
      <c r="V13" s="10">
        <f t="shared" si="7"/>
        <v>170.71460674157305</v>
      </c>
      <c r="W13" s="10">
        <f t="shared" si="8"/>
        <v>3354.8464419475654</v>
      </c>
      <c r="X13" s="10">
        <f t="shared" si="9"/>
        <v>1006.4539325842696</v>
      </c>
      <c r="Y13" s="10"/>
      <c r="Z13" s="10">
        <f t="shared" si="10"/>
        <v>1341.9385767790261</v>
      </c>
      <c r="AE13" s="19" t="s">
        <v>204</v>
      </c>
      <c r="AF13" s="10">
        <v>2516.1348314606739</v>
      </c>
      <c r="AG13" s="10">
        <v>1707.1460674157304</v>
      </c>
      <c r="AH13" s="10">
        <v>40.44943820224718</v>
      </c>
      <c r="AI13" s="10">
        <v>48.539325842696613</v>
      </c>
      <c r="AJ13" s="10">
        <v>54.202247191011217</v>
      </c>
      <c r="AK13" s="10">
        <v>140.10157303370787</v>
      </c>
      <c r="AL13" s="10">
        <v>251.61348314606741</v>
      </c>
      <c r="AM13" s="10">
        <v>170.71460674157305</v>
      </c>
      <c r="AO13" s="10" t="s">
        <v>486</v>
      </c>
      <c r="AP13" s="10">
        <f>SUM(AP7:AP10)</f>
        <v>30720</v>
      </c>
      <c r="AQ13" s="10">
        <f>SUM(AQ7:AQ10)</f>
        <v>41200</v>
      </c>
      <c r="AR13" s="10">
        <f>SUM(AR7:AR10)</f>
        <v>3300</v>
      </c>
      <c r="AS13" s="10">
        <f>SUM(AS7:AS10)</f>
        <v>740</v>
      </c>
      <c r="AT13" s="10">
        <f>SUM(AT7:AT10)</f>
        <v>8</v>
      </c>
      <c r="AU13" s="10">
        <f t="shared" si="12"/>
        <v>75968</v>
      </c>
      <c r="AW13" s="8" t="s">
        <v>486</v>
      </c>
      <c r="AX13" s="8">
        <v>30720</v>
      </c>
      <c r="AY13" s="8">
        <v>41200</v>
      </c>
      <c r="AZ13" s="8">
        <v>3300</v>
      </c>
      <c r="BA13" s="8">
        <v>740</v>
      </c>
      <c r="BB13" s="8">
        <v>8</v>
      </c>
      <c r="BC13" s="8">
        <v>75968</v>
      </c>
    </row>
    <row r="14" spans="4:55">
      <c r="D14" s="118">
        <v>28</v>
      </c>
      <c r="E14" s="119" t="s">
        <v>192</v>
      </c>
      <c r="F14" s="118">
        <v>50</v>
      </c>
      <c r="G14" s="19" t="s">
        <v>200</v>
      </c>
      <c r="H14" s="118">
        <v>1</v>
      </c>
      <c r="I14" s="19" t="s">
        <v>203</v>
      </c>
      <c r="J14" s="18">
        <v>134</v>
      </c>
      <c r="K14" s="18">
        <v>134398</v>
      </c>
      <c r="L14" s="18">
        <v>138960</v>
      </c>
      <c r="M14" s="18">
        <v>173</v>
      </c>
      <c r="N14" s="11">
        <f t="shared" si="0"/>
        <v>0.13884430176565007</v>
      </c>
      <c r="O14" s="10">
        <f t="shared" si="1"/>
        <v>15546.118780096307</v>
      </c>
      <c r="P14" s="10">
        <f t="shared" si="1"/>
        <v>10547.723916532905</v>
      </c>
      <c r="Q14" s="10">
        <f t="shared" si="2"/>
        <v>249.91974317817014</v>
      </c>
      <c r="R14" s="10">
        <f t="shared" si="3"/>
        <v>299.90369181380413</v>
      </c>
      <c r="S14" s="10">
        <f t="shared" si="4"/>
        <v>334.89245585874801</v>
      </c>
      <c r="T14" s="10">
        <f t="shared" si="5"/>
        <v>865.62757624398068</v>
      </c>
      <c r="U14" s="10">
        <f t="shared" si="6"/>
        <v>1554.6118780096308</v>
      </c>
      <c r="V14" s="10">
        <f t="shared" si="7"/>
        <v>1054.7723916532905</v>
      </c>
      <c r="W14" s="10">
        <f t="shared" si="8"/>
        <v>20728.158373461742</v>
      </c>
      <c r="X14" s="10">
        <f t="shared" si="9"/>
        <v>6218.4475120385232</v>
      </c>
      <c r="Y14" s="10"/>
      <c r="Z14" s="10">
        <f t="shared" si="10"/>
        <v>8291.263349384697</v>
      </c>
      <c r="AE14" s="19" t="s">
        <v>203</v>
      </c>
      <c r="AF14" s="10">
        <v>15546.118780096307</v>
      </c>
      <c r="AG14" s="10">
        <v>10547.723916532905</v>
      </c>
      <c r="AH14" s="10">
        <v>249.91974317817014</v>
      </c>
      <c r="AI14" s="10">
        <v>299.90369181380413</v>
      </c>
      <c r="AJ14" s="10">
        <v>334.89245585874801</v>
      </c>
      <c r="AK14" s="10">
        <v>865.62757624398068</v>
      </c>
      <c r="AL14" s="10">
        <v>1554.6118780096308</v>
      </c>
      <c r="AM14" s="10">
        <v>1054.7723916532905</v>
      </c>
    </row>
    <row r="15" spans="4:55">
      <c r="D15" s="118">
        <v>28</v>
      </c>
      <c r="E15" s="119" t="s">
        <v>192</v>
      </c>
      <c r="F15" s="118">
        <v>50</v>
      </c>
      <c r="G15" s="19" t="s">
        <v>200</v>
      </c>
      <c r="H15" s="118">
        <v>2</v>
      </c>
      <c r="I15" s="19" t="s">
        <v>202</v>
      </c>
      <c r="J15" s="18">
        <v>144</v>
      </c>
      <c r="K15" s="18">
        <v>186773</v>
      </c>
      <c r="L15" s="18">
        <v>191708</v>
      </c>
      <c r="M15" s="18">
        <v>38</v>
      </c>
      <c r="N15" s="11">
        <f t="shared" si="0"/>
        <v>3.0497592295345103E-2</v>
      </c>
      <c r="O15" s="10">
        <f t="shared" si="1"/>
        <v>3414.7544141252006</v>
      </c>
      <c r="P15" s="10">
        <f t="shared" si="1"/>
        <v>2316.8410914927767</v>
      </c>
      <c r="Q15" s="10">
        <f t="shared" si="2"/>
        <v>54.895666131621198</v>
      </c>
      <c r="R15" s="10">
        <f t="shared" si="3"/>
        <v>65.874799357945435</v>
      </c>
      <c r="S15" s="10">
        <f t="shared" si="4"/>
        <v>73.560192616372404</v>
      </c>
      <c r="T15" s="10">
        <f t="shared" si="5"/>
        <v>190.13784911717497</v>
      </c>
      <c r="U15" s="10">
        <f t="shared" si="6"/>
        <v>341.47544141252007</v>
      </c>
      <c r="V15" s="10">
        <f t="shared" si="7"/>
        <v>231.68410914927767</v>
      </c>
      <c r="W15" s="10">
        <f t="shared" si="8"/>
        <v>4553.0058855002671</v>
      </c>
      <c r="X15" s="10">
        <f t="shared" si="9"/>
        <v>1365.9017656500803</v>
      </c>
      <c r="Y15" s="10"/>
      <c r="Z15" s="10">
        <f t="shared" si="10"/>
        <v>1821.202354200107</v>
      </c>
      <c r="AE15" s="19" t="s">
        <v>202</v>
      </c>
      <c r="AF15" s="10">
        <v>3414.7544141252006</v>
      </c>
      <c r="AG15" s="10">
        <v>2316.8410914927767</v>
      </c>
      <c r="AH15" s="10">
        <v>54.895666131621198</v>
      </c>
      <c r="AI15" s="10">
        <v>65.874799357945435</v>
      </c>
      <c r="AJ15" s="10">
        <v>73.560192616372404</v>
      </c>
      <c r="AK15" s="10">
        <v>190.13784911717497</v>
      </c>
      <c r="AL15" s="10">
        <v>341.47544141252007</v>
      </c>
      <c r="AM15" s="10">
        <v>231.68410914927767</v>
      </c>
    </row>
    <row r="16" spans="4:55">
      <c r="D16" s="118">
        <v>28</v>
      </c>
      <c r="E16" s="119" t="s">
        <v>192</v>
      </c>
      <c r="F16" s="118">
        <v>50</v>
      </c>
      <c r="G16" s="19" t="s">
        <v>200</v>
      </c>
      <c r="H16" s="118">
        <v>3</v>
      </c>
      <c r="I16" s="19" t="s">
        <v>201</v>
      </c>
      <c r="J16" s="18">
        <v>81</v>
      </c>
      <c r="K16" s="18">
        <v>70274</v>
      </c>
      <c r="L16" s="18">
        <v>72885</v>
      </c>
      <c r="M16" s="18">
        <v>40</v>
      </c>
      <c r="N16" s="11">
        <f t="shared" si="0"/>
        <v>3.2102728731942212E-2</v>
      </c>
      <c r="O16" s="10">
        <f t="shared" si="1"/>
        <v>3594.4783306581057</v>
      </c>
      <c r="P16" s="10">
        <f t="shared" si="1"/>
        <v>2438.7800963081859</v>
      </c>
      <c r="Q16" s="10">
        <f t="shared" si="2"/>
        <v>57.784911717495994</v>
      </c>
      <c r="R16" s="10">
        <f t="shared" si="3"/>
        <v>69.341894060995187</v>
      </c>
      <c r="S16" s="10">
        <f t="shared" si="4"/>
        <v>77.431781701444635</v>
      </c>
      <c r="T16" s="10">
        <f t="shared" si="5"/>
        <v>200.1451043338684</v>
      </c>
      <c r="U16" s="10">
        <f t="shared" si="6"/>
        <v>359.44783306581058</v>
      </c>
      <c r="V16" s="10">
        <f t="shared" si="7"/>
        <v>243.87800963081861</v>
      </c>
      <c r="W16" s="10">
        <f t="shared" si="8"/>
        <v>4792.6377742108079</v>
      </c>
      <c r="X16" s="10">
        <f t="shared" si="9"/>
        <v>1437.7913322632423</v>
      </c>
      <c r="Y16" s="10"/>
      <c r="Z16" s="10">
        <f t="shared" si="10"/>
        <v>1917.055109684323</v>
      </c>
      <c r="AE16" s="19" t="s">
        <v>201</v>
      </c>
      <c r="AF16" s="10">
        <v>3594.4783306581057</v>
      </c>
      <c r="AG16" s="10">
        <v>2438.7800963081859</v>
      </c>
      <c r="AH16" s="10">
        <v>57.784911717495994</v>
      </c>
      <c r="AI16" s="10">
        <v>69.341894060995187</v>
      </c>
      <c r="AJ16" s="10">
        <v>77.431781701444635</v>
      </c>
      <c r="AK16" s="10">
        <v>200.1451043338684</v>
      </c>
      <c r="AL16" s="10">
        <v>359.44783306581058</v>
      </c>
      <c r="AM16" s="10">
        <v>243.87800963081861</v>
      </c>
    </row>
    <row r="17" spans="4:39">
      <c r="D17" s="118">
        <v>28</v>
      </c>
      <c r="E17" s="119" t="s">
        <v>192</v>
      </c>
      <c r="F17" s="118">
        <v>50</v>
      </c>
      <c r="G17" s="19" t="s">
        <v>200</v>
      </c>
      <c r="H17" s="118">
        <v>4</v>
      </c>
      <c r="I17" s="19" t="s">
        <v>199</v>
      </c>
      <c r="J17" s="18">
        <v>87</v>
      </c>
      <c r="K17" s="18">
        <v>103648</v>
      </c>
      <c r="L17" s="18">
        <v>106953</v>
      </c>
      <c r="M17" s="18">
        <v>69</v>
      </c>
      <c r="N17" s="11">
        <f t="shared" si="0"/>
        <v>5.5377207062600318E-2</v>
      </c>
      <c r="O17" s="10">
        <f t="shared" si="1"/>
        <v>6200.4751203852329</v>
      </c>
      <c r="P17" s="10">
        <f t="shared" si="1"/>
        <v>4206.8956661316206</v>
      </c>
      <c r="Q17" s="10">
        <f t="shared" si="2"/>
        <v>99.678972712680618</v>
      </c>
      <c r="R17" s="10">
        <f t="shared" si="3"/>
        <v>119.61476725521673</v>
      </c>
      <c r="S17" s="10">
        <f t="shared" si="4"/>
        <v>133.56982343499203</v>
      </c>
      <c r="T17" s="10">
        <f t="shared" si="5"/>
        <v>345.25030497592297</v>
      </c>
      <c r="U17" s="10">
        <f t="shared" si="6"/>
        <v>620.04751203852334</v>
      </c>
      <c r="V17" s="10">
        <f t="shared" si="7"/>
        <v>420.68956661316207</v>
      </c>
      <c r="W17" s="10">
        <f t="shared" si="8"/>
        <v>8267.3001605136433</v>
      </c>
      <c r="X17" s="10">
        <f t="shared" si="9"/>
        <v>2480.1900481540933</v>
      </c>
      <c r="Y17" s="10"/>
      <c r="Z17" s="10">
        <f t="shared" si="10"/>
        <v>3306.9200642054579</v>
      </c>
      <c r="AE17" s="19" t="s">
        <v>199</v>
      </c>
      <c r="AF17" s="10">
        <v>6200.4751203852329</v>
      </c>
      <c r="AG17" s="10">
        <v>4206.8956661316206</v>
      </c>
      <c r="AH17" s="10">
        <v>99.678972712680618</v>
      </c>
      <c r="AI17" s="10">
        <v>119.61476725521673</v>
      </c>
      <c r="AJ17" s="10">
        <v>133.56982343499203</v>
      </c>
      <c r="AK17" s="10">
        <v>345.25030497592297</v>
      </c>
      <c r="AL17" s="10">
        <v>620.04751203852334</v>
      </c>
      <c r="AM17" s="10">
        <v>420.68956661316207</v>
      </c>
    </row>
    <row r="18" spans="4:39">
      <c r="D18" s="118">
        <v>28</v>
      </c>
      <c r="E18" s="119" t="s">
        <v>192</v>
      </c>
      <c r="F18" s="118">
        <v>61</v>
      </c>
      <c r="G18" s="19" t="s">
        <v>196</v>
      </c>
      <c r="H18" s="118">
        <v>1</v>
      </c>
      <c r="I18" s="19" t="s">
        <v>198</v>
      </c>
      <c r="J18" s="18">
        <v>111</v>
      </c>
      <c r="K18" s="18">
        <v>85380</v>
      </c>
      <c r="L18" s="18">
        <v>87795</v>
      </c>
      <c r="M18" s="18">
        <v>126</v>
      </c>
      <c r="N18" s="11">
        <f t="shared" si="0"/>
        <v>0.10112359550561797</v>
      </c>
      <c r="O18" s="10">
        <f t="shared" si="1"/>
        <v>11322.606741573034</v>
      </c>
      <c r="P18" s="10">
        <f t="shared" si="1"/>
        <v>7682.1573033707864</v>
      </c>
      <c r="Q18" s="10">
        <f t="shared" si="2"/>
        <v>182.02247191011239</v>
      </c>
      <c r="R18" s="10">
        <f t="shared" si="3"/>
        <v>218.42696629213484</v>
      </c>
      <c r="S18" s="10">
        <f t="shared" si="4"/>
        <v>243.9101123595506</v>
      </c>
      <c r="T18" s="10">
        <f t="shared" si="5"/>
        <v>630.45707865168538</v>
      </c>
      <c r="U18" s="10">
        <f t="shared" si="6"/>
        <v>1132.2606741573034</v>
      </c>
      <c r="V18" s="10">
        <f t="shared" si="7"/>
        <v>768.21573033707864</v>
      </c>
      <c r="W18" s="10">
        <f t="shared" si="8"/>
        <v>15096.808988764045</v>
      </c>
      <c r="X18" s="10">
        <f t="shared" si="9"/>
        <v>4529.0426966292134</v>
      </c>
      <c r="Y18" s="10"/>
      <c r="Z18" s="10">
        <f t="shared" si="10"/>
        <v>6038.7235955056176</v>
      </c>
      <c r="AE18" s="19" t="s">
        <v>198</v>
      </c>
      <c r="AF18" s="10">
        <v>11322.606741573034</v>
      </c>
      <c r="AG18" s="10">
        <v>7682.1573033707864</v>
      </c>
      <c r="AH18" s="10">
        <v>182.02247191011239</v>
      </c>
      <c r="AI18" s="10">
        <v>218.42696629213484</v>
      </c>
      <c r="AJ18" s="10">
        <v>243.9101123595506</v>
      </c>
      <c r="AK18" s="10">
        <v>630.45707865168538</v>
      </c>
      <c r="AL18" s="10">
        <v>1132.2606741573034</v>
      </c>
      <c r="AM18" s="10">
        <v>768.21573033707864</v>
      </c>
    </row>
    <row r="19" spans="4:39">
      <c r="D19" s="118">
        <v>28</v>
      </c>
      <c r="E19" s="119" t="s">
        <v>192</v>
      </c>
      <c r="F19" s="118">
        <v>61</v>
      </c>
      <c r="G19" s="19" t="s">
        <v>196</v>
      </c>
      <c r="H19" s="118">
        <v>2</v>
      </c>
      <c r="I19" s="19" t="s">
        <v>197</v>
      </c>
      <c r="J19" s="18">
        <v>123</v>
      </c>
      <c r="K19" s="18">
        <v>108122</v>
      </c>
      <c r="L19" s="18">
        <v>111212</v>
      </c>
      <c r="M19" s="18">
        <v>95</v>
      </c>
      <c r="N19" s="11">
        <f t="shared" si="0"/>
        <v>7.6243980738362763E-2</v>
      </c>
      <c r="O19" s="10">
        <f t="shared" si="1"/>
        <v>8536.8860353130021</v>
      </c>
      <c r="P19" s="10">
        <f t="shared" si="1"/>
        <v>5792.1027287319421</v>
      </c>
      <c r="Q19" s="10">
        <f t="shared" si="2"/>
        <v>137.23916532905301</v>
      </c>
      <c r="R19" s="10">
        <f t="shared" si="3"/>
        <v>164.68699839486359</v>
      </c>
      <c r="S19" s="10">
        <f t="shared" si="4"/>
        <v>183.90048154093103</v>
      </c>
      <c r="T19" s="10">
        <f t="shared" si="5"/>
        <v>475.34462279293746</v>
      </c>
      <c r="U19" s="10">
        <f t="shared" si="6"/>
        <v>853.68860353130026</v>
      </c>
      <c r="V19" s="10">
        <f t="shared" si="7"/>
        <v>579.21027287319419</v>
      </c>
      <c r="W19" s="10">
        <f t="shared" si="8"/>
        <v>11382.51471375067</v>
      </c>
      <c r="X19" s="10">
        <f t="shared" si="9"/>
        <v>3414.754414125201</v>
      </c>
      <c r="Y19" s="10"/>
      <c r="Z19" s="10">
        <f t="shared" si="10"/>
        <v>4553.0058855002681</v>
      </c>
      <c r="AE19" s="19" t="s">
        <v>197</v>
      </c>
      <c r="AF19" s="10">
        <v>8536.8860353130021</v>
      </c>
      <c r="AG19" s="10">
        <v>5792.1027287319421</v>
      </c>
      <c r="AH19" s="10">
        <v>137.23916532905301</v>
      </c>
      <c r="AI19" s="10">
        <v>164.68699839486359</v>
      </c>
      <c r="AJ19" s="10">
        <v>183.90048154093103</v>
      </c>
      <c r="AK19" s="10">
        <v>475.34462279293746</v>
      </c>
      <c r="AL19" s="10">
        <v>853.68860353130026</v>
      </c>
      <c r="AM19" s="10">
        <v>579.21027287319419</v>
      </c>
    </row>
    <row r="20" spans="4:39" ht="25.5">
      <c r="D20" s="118">
        <v>28</v>
      </c>
      <c r="E20" s="119" t="s">
        <v>192</v>
      </c>
      <c r="F20" s="118">
        <v>61</v>
      </c>
      <c r="G20" s="19" t="s">
        <v>196</v>
      </c>
      <c r="H20" s="118">
        <v>3</v>
      </c>
      <c r="I20" s="19" t="s">
        <v>195</v>
      </c>
      <c r="J20" s="18">
        <v>151</v>
      </c>
      <c r="K20" s="18">
        <v>84973</v>
      </c>
      <c r="L20" s="18">
        <v>87272</v>
      </c>
      <c r="M20" s="18">
        <v>143</v>
      </c>
      <c r="N20" s="11">
        <f t="shared" si="0"/>
        <v>0.11476725521669343</v>
      </c>
      <c r="O20" s="10">
        <f t="shared" si="1"/>
        <v>12850.260032102729</v>
      </c>
      <c r="P20" s="10">
        <f t="shared" si="1"/>
        <v>8718.6388443017659</v>
      </c>
      <c r="Q20" s="10">
        <f t="shared" si="2"/>
        <v>206.58105939004818</v>
      </c>
      <c r="R20" s="10">
        <f t="shared" si="3"/>
        <v>247.89727126805781</v>
      </c>
      <c r="S20" s="10">
        <f t="shared" si="4"/>
        <v>276.81861958266455</v>
      </c>
      <c r="T20" s="10">
        <f t="shared" si="5"/>
        <v>715.51874799357961</v>
      </c>
      <c r="U20" s="10">
        <f t="shared" si="6"/>
        <v>1285.0260032102731</v>
      </c>
      <c r="V20" s="10">
        <f t="shared" si="7"/>
        <v>871.86388443017665</v>
      </c>
      <c r="W20" s="10">
        <f t="shared" si="8"/>
        <v>17133.68004280364</v>
      </c>
      <c r="X20" s="10">
        <f t="shared" si="9"/>
        <v>5140.1040128410923</v>
      </c>
      <c r="Y20" s="10"/>
      <c r="Z20" s="10">
        <f t="shared" si="10"/>
        <v>6853.4720171214567</v>
      </c>
      <c r="AE20" s="19" t="s">
        <v>195</v>
      </c>
      <c r="AF20" s="10">
        <v>12850.260032102729</v>
      </c>
      <c r="AG20" s="10">
        <v>8718.6388443017659</v>
      </c>
      <c r="AH20" s="10">
        <v>206.58105939004818</v>
      </c>
      <c r="AI20" s="10">
        <v>247.89727126805781</v>
      </c>
      <c r="AJ20" s="10">
        <v>276.81861958266455</v>
      </c>
      <c r="AK20" s="10">
        <v>715.51874799357961</v>
      </c>
      <c r="AL20" s="10">
        <v>1285.0260032102731</v>
      </c>
      <c r="AM20" s="10">
        <v>871.86388443017665</v>
      </c>
    </row>
    <row r="21" spans="4:39" ht="25.5">
      <c r="D21" s="118">
        <v>28</v>
      </c>
      <c r="E21" s="119" t="s">
        <v>192</v>
      </c>
      <c r="F21" s="118">
        <v>76</v>
      </c>
      <c r="G21" s="19" t="s">
        <v>191</v>
      </c>
      <c r="H21" s="118">
        <v>1</v>
      </c>
      <c r="I21" s="19" t="s">
        <v>194</v>
      </c>
      <c r="J21" s="18">
        <v>343</v>
      </c>
      <c r="K21" s="18">
        <v>232723</v>
      </c>
      <c r="L21" s="18">
        <v>238071</v>
      </c>
      <c r="M21" s="18">
        <v>49</v>
      </c>
      <c r="N21" s="11">
        <f t="shared" si="0"/>
        <v>3.9325842696629212E-2</v>
      </c>
      <c r="O21" s="10">
        <f t="shared" si="1"/>
        <v>4403.2359550561796</v>
      </c>
      <c r="P21" s="10">
        <f t="shared" si="1"/>
        <v>2987.5056179775279</v>
      </c>
      <c r="Q21" s="10">
        <f t="shared" si="2"/>
        <v>70.786516853932582</v>
      </c>
      <c r="R21" s="10">
        <f t="shared" si="3"/>
        <v>84.943820224719104</v>
      </c>
      <c r="S21" s="10">
        <f t="shared" si="4"/>
        <v>94.853932584269671</v>
      </c>
      <c r="T21" s="10">
        <f t="shared" si="5"/>
        <v>245.17775280898877</v>
      </c>
      <c r="U21" s="10">
        <f t="shared" si="6"/>
        <v>440.32359550561796</v>
      </c>
      <c r="V21" s="10">
        <f t="shared" si="7"/>
        <v>298.75056179775282</v>
      </c>
      <c r="W21" s="10">
        <f t="shared" si="8"/>
        <v>5870.9812734082398</v>
      </c>
      <c r="X21" s="10">
        <f t="shared" si="9"/>
        <v>1761.2943820224718</v>
      </c>
      <c r="Y21" s="10"/>
      <c r="Z21" s="10">
        <f t="shared" si="10"/>
        <v>2348.3925093632956</v>
      </c>
      <c r="AE21" s="19" t="s">
        <v>194</v>
      </c>
      <c r="AF21" s="10">
        <v>4403.2359550561796</v>
      </c>
      <c r="AG21" s="10">
        <v>2987.5056179775279</v>
      </c>
      <c r="AH21" s="10">
        <v>70.786516853932582</v>
      </c>
      <c r="AI21" s="10">
        <v>84.943820224719104</v>
      </c>
      <c r="AJ21" s="10">
        <v>94.853932584269671</v>
      </c>
      <c r="AK21" s="10">
        <v>245.17775280898877</v>
      </c>
      <c r="AL21" s="10">
        <v>440.32359550561796</v>
      </c>
      <c r="AM21" s="10">
        <v>298.75056179775282</v>
      </c>
    </row>
    <row r="22" spans="4:39" ht="25.5">
      <c r="D22" s="118">
        <v>28</v>
      </c>
      <c r="E22" s="119" t="s">
        <v>192</v>
      </c>
      <c r="F22" s="118">
        <v>76</v>
      </c>
      <c r="G22" s="19" t="s">
        <v>191</v>
      </c>
      <c r="H22" s="118">
        <v>2</v>
      </c>
      <c r="I22" s="19" t="s">
        <v>193</v>
      </c>
      <c r="J22" s="18">
        <v>149</v>
      </c>
      <c r="K22" s="18">
        <v>383415</v>
      </c>
      <c r="L22" s="18">
        <v>388909</v>
      </c>
      <c r="M22" s="18">
        <v>10</v>
      </c>
      <c r="N22" s="11">
        <f t="shared" si="0"/>
        <v>8.0256821829855531E-3</v>
      </c>
      <c r="O22" s="10">
        <f t="shared" si="1"/>
        <v>898.61958266452643</v>
      </c>
      <c r="P22" s="10">
        <f t="shared" si="1"/>
        <v>609.69502407704647</v>
      </c>
      <c r="Q22" s="10">
        <f t="shared" si="2"/>
        <v>14.446227929373999</v>
      </c>
      <c r="R22" s="10">
        <f t="shared" si="3"/>
        <v>17.335473515248797</v>
      </c>
      <c r="S22" s="10">
        <f t="shared" si="4"/>
        <v>19.357945425361159</v>
      </c>
      <c r="T22" s="10">
        <f t="shared" si="5"/>
        <v>50.036276083467101</v>
      </c>
      <c r="U22" s="10">
        <f t="shared" si="6"/>
        <v>89.861958266452646</v>
      </c>
      <c r="V22" s="10">
        <f t="shared" si="7"/>
        <v>60.969502407704653</v>
      </c>
      <c r="W22" s="10">
        <f t="shared" si="8"/>
        <v>1198.159443552702</v>
      </c>
      <c r="X22" s="10">
        <f t="shared" si="9"/>
        <v>359.44783306581058</v>
      </c>
      <c r="Y22" s="10"/>
      <c r="Z22" s="10">
        <f t="shared" si="10"/>
        <v>479.26377742108076</v>
      </c>
      <c r="AE22" s="19" t="s">
        <v>193</v>
      </c>
      <c r="AF22" s="10">
        <v>898.61958266452643</v>
      </c>
      <c r="AG22" s="10">
        <v>609.69502407704647</v>
      </c>
      <c r="AH22" s="10">
        <v>14.446227929373999</v>
      </c>
      <c r="AI22" s="10">
        <v>17.335473515248797</v>
      </c>
      <c r="AJ22" s="10">
        <v>19.357945425361159</v>
      </c>
      <c r="AK22" s="10">
        <v>50.036276083467101</v>
      </c>
      <c r="AL22" s="10">
        <v>89.861958266452646</v>
      </c>
      <c r="AM22" s="10">
        <v>60.969502407704653</v>
      </c>
    </row>
    <row r="23" spans="4:39" ht="25.5">
      <c r="D23" s="118">
        <v>28</v>
      </c>
      <c r="E23" s="119" t="s">
        <v>192</v>
      </c>
      <c r="F23" s="118">
        <v>76</v>
      </c>
      <c r="G23" s="19" t="s">
        <v>191</v>
      </c>
      <c r="H23" s="118">
        <v>3</v>
      </c>
      <c r="I23" s="19" t="s">
        <v>190</v>
      </c>
      <c r="J23" s="18">
        <v>216</v>
      </c>
      <c r="K23" s="18">
        <v>638601</v>
      </c>
      <c r="L23" s="18">
        <v>648402</v>
      </c>
      <c r="M23" s="18">
        <v>24</v>
      </c>
      <c r="N23" s="11">
        <f t="shared" si="0"/>
        <v>1.9261637239165328E-2</v>
      </c>
      <c r="O23" s="10">
        <f t="shared" si="1"/>
        <v>2156.6869983948636</v>
      </c>
      <c r="P23" s="10">
        <f t="shared" si="1"/>
        <v>1463.2680577849117</v>
      </c>
      <c r="Q23" s="10">
        <f t="shared" si="2"/>
        <v>34.670947030497601</v>
      </c>
      <c r="R23" s="10">
        <f t="shared" si="3"/>
        <v>41.605136436597114</v>
      </c>
      <c r="S23" s="10">
        <f t="shared" si="4"/>
        <v>46.459069020866785</v>
      </c>
      <c r="T23" s="10">
        <f t="shared" si="5"/>
        <v>120.08706260032105</v>
      </c>
      <c r="U23" s="10">
        <f t="shared" si="6"/>
        <v>215.66869983948638</v>
      </c>
      <c r="V23" s="10">
        <f t="shared" si="7"/>
        <v>146.32680577849118</v>
      </c>
      <c r="W23" s="10">
        <f t="shared" si="8"/>
        <v>2875.5826645264847</v>
      </c>
      <c r="X23" s="10">
        <f t="shared" si="9"/>
        <v>862.67479935794552</v>
      </c>
      <c r="Y23" s="10"/>
      <c r="Z23" s="10">
        <f t="shared" si="10"/>
        <v>1150.2330658105941</v>
      </c>
      <c r="AE23" s="19" t="s">
        <v>190</v>
      </c>
      <c r="AF23" s="10">
        <v>2156.6869983948636</v>
      </c>
      <c r="AG23" s="10">
        <v>1463.2680577849117</v>
      </c>
      <c r="AH23" s="10">
        <v>34.670947030497601</v>
      </c>
      <c r="AI23" s="10">
        <v>41.605136436597114</v>
      </c>
      <c r="AJ23" s="10">
        <v>46.459069020866785</v>
      </c>
      <c r="AK23" s="10">
        <v>120.08706260032105</v>
      </c>
      <c r="AL23" s="10">
        <v>215.66869983948638</v>
      </c>
      <c r="AM23" s="10">
        <v>146.32680577849118</v>
      </c>
    </row>
    <row r="24" spans="4:39">
      <c r="D24" s="11"/>
      <c r="E24" s="76"/>
      <c r="F24" s="11"/>
      <c r="G24" s="11"/>
      <c r="H24" s="11"/>
      <c r="I24" s="11"/>
      <c r="J24" s="11"/>
      <c r="K24" s="11"/>
      <c r="L24" s="11"/>
      <c r="M24" s="120">
        <f>SUM(M7:M23)</f>
        <v>1246</v>
      </c>
      <c r="N24" s="11"/>
      <c r="O24" s="10">
        <f t="shared" ref="O24:V24" si="13">SUM(O7:O23)</f>
        <v>111968</v>
      </c>
      <c r="P24" s="10">
        <f t="shared" si="13"/>
        <v>75968</v>
      </c>
      <c r="Q24" s="10">
        <f t="shared" si="13"/>
        <v>1800.0000000000005</v>
      </c>
      <c r="R24" s="10">
        <f t="shared" si="13"/>
        <v>2160</v>
      </c>
      <c r="S24" s="10">
        <f t="shared" si="13"/>
        <v>2412.0000000000009</v>
      </c>
      <c r="T24" s="10">
        <f t="shared" si="13"/>
        <v>6234.5199999999986</v>
      </c>
      <c r="U24" s="10">
        <f t="shared" si="13"/>
        <v>11196.800000000001</v>
      </c>
      <c r="V24" s="10">
        <f t="shared" si="13"/>
        <v>7596.8</v>
      </c>
      <c r="W24" s="10">
        <f>SUM(W7:W23)</f>
        <v>149290.66666666666</v>
      </c>
      <c r="X24" s="10">
        <f>SUM(X7:X23)</f>
        <v>44787.200000000004</v>
      </c>
      <c r="Y24" s="10"/>
      <c r="Z24" s="10">
        <f>SUM(Z7:Z23)</f>
        <v>59716.266666666663</v>
      </c>
      <c r="AE24" s="15" t="s">
        <v>154</v>
      </c>
      <c r="AF24" s="8">
        <v>111968</v>
      </c>
      <c r="AG24" s="8">
        <v>75968</v>
      </c>
      <c r="AH24" s="8">
        <v>1800.0000000000005</v>
      </c>
      <c r="AI24" s="8">
        <v>2160</v>
      </c>
      <c r="AJ24" s="8">
        <v>2412.0000000000009</v>
      </c>
      <c r="AK24" s="8">
        <v>6234.5199999999986</v>
      </c>
      <c r="AL24" s="8">
        <v>11196.800000000001</v>
      </c>
      <c r="AM24" s="8">
        <v>7596.8</v>
      </c>
    </row>
    <row r="25" spans="4:39" hidden="1"/>
    <row r="26" spans="4:39" hidden="1">
      <c r="G26" s="5">
        <v>73</v>
      </c>
      <c r="O26" s="6">
        <f>111968</f>
        <v>111968</v>
      </c>
      <c r="P26" s="6">
        <v>75968</v>
      </c>
    </row>
    <row r="27" spans="4:39" hidden="1">
      <c r="F27" s="5" t="s">
        <v>514</v>
      </c>
      <c r="G27" s="5" t="s">
        <v>513</v>
      </c>
      <c r="H27" s="5" t="s">
        <v>512</v>
      </c>
      <c r="I27" s="5" t="s">
        <v>511</v>
      </c>
      <c r="J27" s="5" t="s">
        <v>510</v>
      </c>
      <c r="K27" s="5" t="s">
        <v>509</v>
      </c>
      <c r="L27" s="5" t="s">
        <v>508</v>
      </c>
    </row>
    <row r="28" spans="4:39" hidden="1"/>
    <row r="29" spans="4:39" hidden="1">
      <c r="E29" s="72" t="s">
        <v>507</v>
      </c>
      <c r="F29" s="5" t="s">
        <v>506</v>
      </c>
      <c r="G29" s="5" t="s">
        <v>505</v>
      </c>
      <c r="H29" s="5" t="s">
        <v>504</v>
      </c>
    </row>
    <row r="30" spans="4:39" hidden="1"/>
    <row r="31" spans="4:39" hidden="1">
      <c r="F31" s="161" t="s">
        <v>503</v>
      </c>
      <c r="G31" s="161"/>
      <c r="H31" s="161"/>
      <c r="I31" s="161"/>
      <c r="J31" s="161"/>
    </row>
    <row r="32" spans="4:39" ht="30" hidden="1">
      <c r="F32" s="78" t="s">
        <v>496</v>
      </c>
      <c r="G32" s="78" t="s">
        <v>495</v>
      </c>
      <c r="H32" s="78" t="s">
        <v>494</v>
      </c>
      <c r="I32" s="78" t="s">
        <v>493</v>
      </c>
      <c r="J32" s="78" t="s">
        <v>492</v>
      </c>
    </row>
    <row r="33" spans="5:26" ht="45" hidden="1">
      <c r="E33" s="78" t="s">
        <v>502</v>
      </c>
      <c r="F33" s="5">
        <v>0.5</v>
      </c>
      <c r="G33" s="5">
        <v>40</v>
      </c>
      <c r="H33" s="5">
        <v>3.3</v>
      </c>
      <c r="I33" s="5">
        <v>0.5</v>
      </c>
      <c r="J33" s="5">
        <v>0</v>
      </c>
    </row>
    <row r="34" spans="5:26" hidden="1">
      <c r="E34" s="78" t="s">
        <v>490</v>
      </c>
      <c r="F34" s="5">
        <v>0.72</v>
      </c>
      <c r="G34" s="5">
        <v>0</v>
      </c>
      <c r="H34" s="5">
        <v>0</v>
      </c>
      <c r="I34" s="5">
        <v>0</v>
      </c>
      <c r="J34" s="5">
        <v>0</v>
      </c>
    </row>
    <row r="35" spans="5:26" hidden="1">
      <c r="E35" s="72" t="s">
        <v>181</v>
      </c>
      <c r="F35" s="5">
        <v>5.5</v>
      </c>
      <c r="G35" s="5">
        <v>0</v>
      </c>
      <c r="H35" s="5">
        <v>0</v>
      </c>
      <c r="I35" s="5">
        <v>0</v>
      </c>
      <c r="J35" s="5">
        <v>0</v>
      </c>
    </row>
    <row r="36" spans="5:26" hidden="1">
      <c r="E36" s="72" t="s">
        <v>447</v>
      </c>
      <c r="F36" s="5">
        <f>18/0.75</f>
        <v>24</v>
      </c>
      <c r="G36" s="5">
        <f>F36*0.05</f>
        <v>1.2000000000000002</v>
      </c>
      <c r="I36" s="5">
        <f>F36*0.01</f>
        <v>0.24</v>
      </c>
      <c r="J36" s="5">
        <f>(F36*0.01)/30</f>
        <v>8.0000000000000002E-3</v>
      </c>
      <c r="L36" s="5" t="s">
        <v>501</v>
      </c>
      <c r="X36" s="6" t="s">
        <v>500</v>
      </c>
    </row>
    <row r="37" spans="5:26" hidden="1">
      <c r="X37" s="6" t="s">
        <v>499</v>
      </c>
      <c r="Z37" s="6">
        <v>14</v>
      </c>
    </row>
    <row r="38" spans="5:26" hidden="1">
      <c r="X38" s="6" t="s">
        <v>498</v>
      </c>
      <c r="Z38" s="6">
        <v>61</v>
      </c>
    </row>
    <row r="39" spans="5:26" hidden="1"/>
    <row r="40" spans="5:26" hidden="1"/>
    <row r="41" spans="5:26" ht="14.25" hidden="1" customHeight="1"/>
    <row r="42" spans="5:26" hidden="1"/>
    <row r="43" spans="5:26" hidden="1"/>
    <row r="44" spans="5:26" hidden="1"/>
    <row r="45" spans="5:26" hidden="1"/>
    <row r="46" spans="5:26" hidden="1"/>
    <row r="47" spans="5:26" hidden="1"/>
    <row r="48" spans="5:26" hidden="1"/>
    <row r="49" spans="30:30" hidden="1"/>
    <row r="50" spans="30:30" hidden="1"/>
    <row r="51" spans="30:30" hidden="1"/>
    <row r="52" spans="30:30" hidden="1"/>
    <row r="53" spans="30:30" hidden="1"/>
    <row r="54" spans="30:30" hidden="1"/>
    <row r="55" spans="30:30" hidden="1"/>
    <row r="56" spans="30:30" hidden="1"/>
    <row r="57" spans="30:30" hidden="1"/>
    <row r="58" spans="30:30" hidden="1"/>
    <row r="59" spans="30:30" hidden="1"/>
    <row r="60" spans="30:30" hidden="1"/>
    <row r="61" spans="30:30" hidden="1"/>
    <row r="62" spans="30:30" hidden="1"/>
    <row r="63" spans="30:30" hidden="1">
      <c r="AD63" s="73">
        <f>AX11/AX12</f>
        <v>0.53956834532374109</v>
      </c>
    </row>
  </sheetData>
  <sheetProtection sheet="1" objects="1" scenarios="1"/>
  <mergeCells count="3">
    <mergeCell ref="F31:J31"/>
    <mergeCell ref="AO5:AU5"/>
    <mergeCell ref="AW5:BC5"/>
  </mergeCells>
  <phoneticPr fontId="18" type="noConversion"/>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08E5F-AA95-4477-890A-230A26B4FC1B}">
  <sheetPr codeName="Feuil14"/>
  <dimension ref="D4:AB36"/>
  <sheetViews>
    <sheetView zoomScale="40" zoomScaleNormal="40" workbookViewId="0">
      <selection activeCell="AA8" sqref="AA8:AE14"/>
    </sheetView>
  </sheetViews>
  <sheetFormatPr baseColWidth="10" defaultRowHeight="15"/>
  <cols>
    <col min="1" max="14" width="11" style="5"/>
    <col min="15" max="15" width="11" style="6"/>
    <col min="16" max="17" width="11" style="5"/>
    <col min="18" max="18" width="13" style="5" customWidth="1"/>
    <col min="19" max="20" width="11" style="5"/>
    <col min="21" max="21" width="13.25" style="5" customWidth="1"/>
    <col min="22" max="16384" width="11" style="5"/>
  </cols>
  <sheetData>
    <row r="4" spans="4:28">
      <c r="V4" s="132" t="s">
        <v>587</v>
      </c>
      <c r="W4" s="133"/>
    </row>
    <row r="5" spans="4:28" ht="30">
      <c r="V5" s="12" t="s">
        <v>278</v>
      </c>
      <c r="W5" s="12" t="s">
        <v>358</v>
      </c>
      <c r="Y5" s="132" t="s">
        <v>303</v>
      </c>
      <c r="Z5" s="133"/>
      <c r="AA5" s="133"/>
      <c r="AB5" s="133"/>
    </row>
    <row r="6" spans="4:28" ht="45">
      <c r="D6" s="12" t="s">
        <v>229</v>
      </c>
      <c r="E6" s="12" t="s">
        <v>228</v>
      </c>
      <c r="F6" s="12" t="s">
        <v>227</v>
      </c>
      <c r="G6" s="12" t="s">
        <v>226</v>
      </c>
      <c r="H6" s="12" t="s">
        <v>225</v>
      </c>
      <c r="I6" s="12" t="s">
        <v>268</v>
      </c>
      <c r="J6" s="12" t="s">
        <v>224</v>
      </c>
      <c r="K6" s="12" t="s">
        <v>223</v>
      </c>
      <c r="L6" s="12" t="s">
        <v>222</v>
      </c>
      <c r="M6" s="12" t="s">
        <v>316</v>
      </c>
      <c r="N6" s="12" t="s">
        <v>215</v>
      </c>
      <c r="O6" s="12" t="s">
        <v>315</v>
      </c>
      <c r="P6" s="12" t="s">
        <v>314</v>
      </c>
      <c r="Q6" s="12" t="s">
        <v>313</v>
      </c>
      <c r="R6" s="12" t="s">
        <v>312</v>
      </c>
      <c r="S6" s="12" t="s">
        <v>311</v>
      </c>
      <c r="T6" s="12" t="s">
        <v>310</v>
      </c>
      <c r="V6" s="11" t="s">
        <v>181</v>
      </c>
      <c r="W6" s="4">
        <f>SUM(T5:T20)</f>
        <v>5767.7686541583735</v>
      </c>
      <c r="Y6" s="12" t="s">
        <v>278</v>
      </c>
      <c r="Z6" s="12" t="s">
        <v>301</v>
      </c>
      <c r="AA6" s="35" t="s">
        <v>300</v>
      </c>
      <c r="AB6" s="12" t="s">
        <v>270</v>
      </c>
    </row>
    <row r="7" spans="4:28" ht="15.75">
      <c r="D7" s="118">
        <v>28</v>
      </c>
      <c r="E7" s="19" t="s">
        <v>192</v>
      </c>
      <c r="F7" s="118">
        <v>14</v>
      </c>
      <c r="G7" s="19" t="s">
        <v>181</v>
      </c>
      <c r="H7" s="118">
        <v>1</v>
      </c>
      <c r="I7" s="19" t="s">
        <v>211</v>
      </c>
      <c r="J7" s="18">
        <v>123</v>
      </c>
      <c r="K7" s="18">
        <v>73516</v>
      </c>
      <c r="L7" s="18">
        <v>74932</v>
      </c>
      <c r="M7" s="11">
        <f>L7*0.4</f>
        <v>29972.800000000003</v>
      </c>
      <c r="N7" s="11">
        <f t="shared" ref="N7:N23" si="0">M7/$M$25</f>
        <v>3.1857404400842858E-2</v>
      </c>
      <c r="O7" s="10">
        <f t="shared" ref="O7:O23" si="1">N7*$M$27</f>
        <v>95572.213202528568</v>
      </c>
      <c r="P7" s="10">
        <f t="shared" ref="P7:P23" si="2">O7</f>
        <v>95572.213202528568</v>
      </c>
      <c r="Q7" s="11">
        <f t="shared" ref="Q7:Q23" si="3">P7*3</f>
        <v>286716.63960758573</v>
      </c>
      <c r="R7" s="11">
        <f t="shared" ref="R7:R23" si="4">P7*0.8</f>
        <v>76457.770562022852</v>
      </c>
      <c r="S7" s="10">
        <f t="shared" ref="S7:S23" si="5">P7/1000</f>
        <v>95.572213202528573</v>
      </c>
      <c r="T7" s="11">
        <f t="shared" ref="T7:T23" si="6">Q7/1000</f>
        <v>286.71663960758576</v>
      </c>
      <c r="V7" s="11" t="s">
        <v>205</v>
      </c>
      <c r="W7" s="4">
        <f>SUM(T21:T33)</f>
        <v>12232.231345841625</v>
      </c>
      <c r="Y7" s="11" t="s">
        <v>181</v>
      </c>
      <c r="Z7" s="10">
        <f>SUM(P$7:P$10)/1000</f>
        <v>404.91292644624366</v>
      </c>
      <c r="AA7" s="10">
        <f>Z7</f>
        <v>404.91292644624366</v>
      </c>
      <c r="AB7" s="10">
        <f>(Z7/$Z$12)*100</f>
        <v>13.497097548208123</v>
      </c>
    </row>
    <row r="8" spans="4:28" ht="15.75">
      <c r="D8" s="118">
        <v>28</v>
      </c>
      <c r="E8" s="19" t="s">
        <v>192</v>
      </c>
      <c r="F8" s="118">
        <v>14</v>
      </c>
      <c r="G8" s="19" t="s">
        <v>181</v>
      </c>
      <c r="H8" s="118">
        <v>2</v>
      </c>
      <c r="I8" s="19" t="s">
        <v>210</v>
      </c>
      <c r="J8" s="18">
        <v>201</v>
      </c>
      <c r="K8" s="18">
        <v>393027</v>
      </c>
      <c r="L8" s="18">
        <v>399850</v>
      </c>
      <c r="M8" s="11">
        <f>M7*0.25</f>
        <v>7493.2000000000007</v>
      </c>
      <c r="N8" s="11">
        <f t="shared" si="0"/>
        <v>7.9643511002107144E-3</v>
      </c>
      <c r="O8" s="10">
        <f t="shared" si="1"/>
        <v>23893.053300632142</v>
      </c>
      <c r="P8" s="10">
        <f t="shared" si="2"/>
        <v>23893.053300632142</v>
      </c>
      <c r="Q8" s="11">
        <f t="shared" si="3"/>
        <v>71679.159901896433</v>
      </c>
      <c r="R8" s="11">
        <f t="shared" si="4"/>
        <v>19114.442640505713</v>
      </c>
      <c r="S8" s="10">
        <f t="shared" si="5"/>
        <v>23.893053300632143</v>
      </c>
      <c r="T8" s="11">
        <f t="shared" si="6"/>
        <v>71.67915990189644</v>
      </c>
      <c r="V8" s="11" t="s">
        <v>200</v>
      </c>
      <c r="W8" s="4">
        <f>SUM(T34:T40)</f>
        <v>0</v>
      </c>
      <c r="Y8" s="11" t="s">
        <v>205</v>
      </c>
      <c r="Z8" s="10">
        <f>SUM(P$11:P$13)/1000</f>
        <v>525.28749498454829</v>
      </c>
      <c r="AA8" s="10">
        <f>Z8</f>
        <v>525.28749498454829</v>
      </c>
      <c r="AB8" s="10">
        <f>(Z8/$Z$12)*100</f>
        <v>17.509583166151611</v>
      </c>
    </row>
    <row r="9" spans="4:28" ht="15.75">
      <c r="D9" s="118">
        <v>28</v>
      </c>
      <c r="E9" s="19" t="s">
        <v>192</v>
      </c>
      <c r="F9" s="118">
        <v>14</v>
      </c>
      <c r="G9" s="19" t="s">
        <v>181</v>
      </c>
      <c r="H9" s="118">
        <v>3</v>
      </c>
      <c r="I9" s="19" t="s">
        <v>209</v>
      </c>
      <c r="J9" s="18">
        <v>160</v>
      </c>
      <c r="K9" s="18">
        <v>159810</v>
      </c>
      <c r="L9" s="18">
        <v>163468</v>
      </c>
      <c r="M9" s="11">
        <f>L9*0.4</f>
        <v>65387.200000000004</v>
      </c>
      <c r="N9" s="11">
        <f t="shared" si="0"/>
        <v>6.9498561130050984E-2</v>
      </c>
      <c r="O9" s="10">
        <f t="shared" si="1"/>
        <v>208495.68339015296</v>
      </c>
      <c r="P9" s="10">
        <f t="shared" si="2"/>
        <v>208495.68339015296</v>
      </c>
      <c r="Q9" s="11">
        <f t="shared" si="3"/>
        <v>625487.05017045885</v>
      </c>
      <c r="R9" s="11">
        <f t="shared" si="4"/>
        <v>166796.54671212239</v>
      </c>
      <c r="S9" s="10">
        <f t="shared" si="5"/>
        <v>208.49568339015295</v>
      </c>
      <c r="T9" s="11">
        <f t="shared" si="6"/>
        <v>625.48705017045882</v>
      </c>
      <c r="V9" s="11" t="s">
        <v>272</v>
      </c>
      <c r="W9" s="4">
        <f>SUM(T41:T57)</f>
        <v>0</v>
      </c>
      <c r="Y9" s="11" t="s">
        <v>200</v>
      </c>
      <c r="Z9" s="10">
        <f>SUM(P$14:P$17)/1000</f>
        <v>627.25383897942538</v>
      </c>
      <c r="AA9" s="10">
        <f>Z9</f>
        <v>627.25383897942538</v>
      </c>
      <c r="AB9" s="10">
        <f>(Z9/$Z$12)*100</f>
        <v>20.90846129931418</v>
      </c>
    </row>
    <row r="10" spans="4:28" ht="15.75">
      <c r="D10" s="118">
        <v>28</v>
      </c>
      <c r="E10" s="19" t="s">
        <v>192</v>
      </c>
      <c r="F10" s="118">
        <v>14</v>
      </c>
      <c r="G10" s="19" t="s">
        <v>181</v>
      </c>
      <c r="H10" s="118">
        <v>4</v>
      </c>
      <c r="I10" s="19" t="s">
        <v>208</v>
      </c>
      <c r="J10" s="18">
        <v>44</v>
      </c>
      <c r="K10" s="18">
        <v>71194</v>
      </c>
      <c r="L10" s="18">
        <v>73131</v>
      </c>
      <c r="M10" s="11">
        <f>L10*0.33</f>
        <v>24133.23</v>
      </c>
      <c r="N10" s="11">
        <f t="shared" si="0"/>
        <v>2.5650658850976647E-2</v>
      </c>
      <c r="O10" s="10">
        <f t="shared" si="1"/>
        <v>76951.976552929933</v>
      </c>
      <c r="P10" s="10">
        <f t="shared" si="2"/>
        <v>76951.976552929933</v>
      </c>
      <c r="Q10" s="11">
        <f t="shared" si="3"/>
        <v>230855.9296587898</v>
      </c>
      <c r="R10" s="11">
        <f t="shared" si="4"/>
        <v>61561.581242343949</v>
      </c>
      <c r="S10" s="10">
        <f t="shared" si="5"/>
        <v>76.951976552929935</v>
      </c>
      <c r="T10" s="11">
        <f t="shared" si="6"/>
        <v>230.85592965878979</v>
      </c>
      <c r="V10" s="11" t="s">
        <v>271</v>
      </c>
      <c r="W10" s="4">
        <f>SUM(T58:T75)</f>
        <v>0</v>
      </c>
      <c r="Y10" s="11" t="s">
        <v>272</v>
      </c>
      <c r="Z10" s="10">
        <f>SUM(P$18:P$20)/1000</f>
        <v>365.13529097590725</v>
      </c>
      <c r="AA10" s="10">
        <f>Z10</f>
        <v>365.13529097590725</v>
      </c>
      <c r="AB10" s="10">
        <f>(Z10/$Z$12)*100</f>
        <v>12.171176365863575</v>
      </c>
    </row>
    <row r="11" spans="4:28" ht="15.75">
      <c r="D11" s="118">
        <v>28</v>
      </c>
      <c r="E11" s="19" t="s">
        <v>192</v>
      </c>
      <c r="F11" s="118">
        <v>27</v>
      </c>
      <c r="G11" s="19" t="s">
        <v>205</v>
      </c>
      <c r="H11" s="118">
        <v>1</v>
      </c>
      <c r="I11" s="19" t="s">
        <v>207</v>
      </c>
      <c r="J11" s="18">
        <v>185</v>
      </c>
      <c r="K11" s="18">
        <v>235416</v>
      </c>
      <c r="L11" s="18">
        <v>240268</v>
      </c>
      <c r="M11" s="11">
        <f>L11*0.25</f>
        <v>60067</v>
      </c>
      <c r="N11" s="11">
        <f t="shared" si="0"/>
        <v>6.3843842088341027E-2</v>
      </c>
      <c r="O11" s="10">
        <f t="shared" si="1"/>
        <v>191531.52626502307</v>
      </c>
      <c r="P11" s="10">
        <f t="shared" si="2"/>
        <v>191531.52626502307</v>
      </c>
      <c r="Q11" s="11">
        <f t="shared" si="3"/>
        <v>574594.57879506925</v>
      </c>
      <c r="R11" s="11">
        <f t="shared" si="4"/>
        <v>153225.22101201848</v>
      </c>
      <c r="S11" s="10">
        <f t="shared" si="5"/>
        <v>191.53152626502307</v>
      </c>
      <c r="T11" s="11">
        <f t="shared" si="6"/>
        <v>574.5945787950692</v>
      </c>
      <c r="V11" s="9" t="s">
        <v>230</v>
      </c>
      <c r="W11" s="4">
        <f>SUM(W6:W10)</f>
        <v>18000</v>
      </c>
      <c r="Y11" s="11" t="s">
        <v>271</v>
      </c>
      <c r="Z11" s="10">
        <f>SUM(P$21:P$23)/1000</f>
        <v>1077.4104486138754</v>
      </c>
      <c r="AA11" s="10">
        <f>Z11</f>
        <v>1077.4104486138754</v>
      </c>
      <c r="AB11" s="10">
        <f>(Z11/$Z$12)*100</f>
        <v>35.913681620462512</v>
      </c>
    </row>
    <row r="12" spans="4:28">
      <c r="D12" s="118">
        <v>28</v>
      </c>
      <c r="E12" s="19" t="s">
        <v>192</v>
      </c>
      <c r="F12" s="118">
        <v>27</v>
      </c>
      <c r="G12" s="19" t="s">
        <v>205</v>
      </c>
      <c r="H12" s="118">
        <v>2</v>
      </c>
      <c r="I12" s="19" t="s">
        <v>206</v>
      </c>
      <c r="J12" s="18">
        <v>297</v>
      </c>
      <c r="K12" s="18">
        <v>225807</v>
      </c>
      <c r="L12" s="18">
        <v>230922</v>
      </c>
      <c r="M12" s="11">
        <f>L12*0.3</f>
        <v>69276.599999999991</v>
      </c>
      <c r="N12" s="11">
        <f t="shared" si="0"/>
        <v>7.36325155379354E-2</v>
      </c>
      <c r="O12" s="10">
        <f t="shared" si="1"/>
        <v>220897.54661380619</v>
      </c>
      <c r="P12" s="10">
        <f t="shared" si="2"/>
        <v>220897.54661380619</v>
      </c>
      <c r="Q12" s="11">
        <f t="shared" si="3"/>
        <v>662692.6398414186</v>
      </c>
      <c r="R12" s="11">
        <f t="shared" si="4"/>
        <v>176718.03729104495</v>
      </c>
      <c r="S12" s="10">
        <f t="shared" si="5"/>
        <v>220.89754661380618</v>
      </c>
      <c r="T12" s="11">
        <f t="shared" si="6"/>
        <v>662.69263984141855</v>
      </c>
      <c r="Y12" s="9" t="s">
        <v>230</v>
      </c>
      <c r="Z12" s="8">
        <f>SUM(Z7:Z11)</f>
        <v>3000</v>
      </c>
      <c r="AA12" s="8">
        <f>SUM(AA7:AA11)</f>
        <v>3000</v>
      </c>
      <c r="AB12" s="8">
        <f>SUM(AB7:AB11)</f>
        <v>100</v>
      </c>
    </row>
    <row r="13" spans="4:28">
      <c r="D13" s="118">
        <v>28</v>
      </c>
      <c r="E13" s="19" t="s">
        <v>192</v>
      </c>
      <c r="F13" s="118">
        <v>27</v>
      </c>
      <c r="G13" s="19" t="s">
        <v>205</v>
      </c>
      <c r="H13" s="118">
        <v>3</v>
      </c>
      <c r="I13" s="19" t="s">
        <v>204</v>
      </c>
      <c r="J13" s="18">
        <v>103</v>
      </c>
      <c r="K13" s="18">
        <v>138445</v>
      </c>
      <c r="L13" s="18">
        <v>141576</v>
      </c>
      <c r="M13" s="11">
        <f>L13*0.25</f>
        <v>35394</v>
      </c>
      <c r="N13" s="11">
        <f t="shared" si="0"/>
        <v>3.7619474035239686E-2</v>
      </c>
      <c r="O13" s="10">
        <f t="shared" si="1"/>
        <v>112858.42210571906</v>
      </c>
      <c r="P13" s="10">
        <f t="shared" si="2"/>
        <v>112858.42210571906</v>
      </c>
      <c r="Q13" s="11">
        <f t="shared" si="3"/>
        <v>338575.26631715719</v>
      </c>
      <c r="R13" s="11">
        <f t="shared" si="4"/>
        <v>90286.737684575259</v>
      </c>
      <c r="S13" s="10">
        <f t="shared" si="5"/>
        <v>112.85842210571906</v>
      </c>
      <c r="T13" s="11">
        <f t="shared" si="6"/>
        <v>338.57526631715717</v>
      </c>
    </row>
    <row r="14" spans="4:28">
      <c r="D14" s="118">
        <v>28</v>
      </c>
      <c r="E14" s="19" t="s">
        <v>192</v>
      </c>
      <c r="F14" s="118">
        <v>50</v>
      </c>
      <c r="G14" s="19" t="s">
        <v>200</v>
      </c>
      <c r="H14" s="118">
        <v>1</v>
      </c>
      <c r="I14" s="19" t="s">
        <v>203</v>
      </c>
      <c r="J14" s="18">
        <v>134</v>
      </c>
      <c r="K14" s="18">
        <v>134398</v>
      </c>
      <c r="L14" s="18">
        <v>138960</v>
      </c>
      <c r="M14" s="11">
        <f>L14*0.4</f>
        <v>55584</v>
      </c>
      <c r="N14" s="11">
        <f t="shared" si="0"/>
        <v>5.9078963801061278E-2</v>
      </c>
      <c r="O14" s="10">
        <f t="shared" si="1"/>
        <v>177236.89140318384</v>
      </c>
      <c r="P14" s="10">
        <f t="shared" si="2"/>
        <v>177236.89140318384</v>
      </c>
      <c r="Q14" s="11">
        <f t="shared" si="3"/>
        <v>531710.67420955154</v>
      </c>
      <c r="R14" s="11">
        <f t="shared" si="4"/>
        <v>141789.51312254707</v>
      </c>
      <c r="S14" s="10">
        <f t="shared" si="5"/>
        <v>177.23689140318385</v>
      </c>
      <c r="T14" s="11">
        <f t="shared" si="6"/>
        <v>531.71067420955148</v>
      </c>
    </row>
    <row r="15" spans="4:28">
      <c r="D15" s="118">
        <v>28</v>
      </c>
      <c r="E15" s="19" t="s">
        <v>192</v>
      </c>
      <c r="F15" s="118">
        <v>50</v>
      </c>
      <c r="G15" s="19" t="s">
        <v>200</v>
      </c>
      <c r="H15" s="118">
        <v>2</v>
      </c>
      <c r="I15" s="19" t="s">
        <v>202</v>
      </c>
      <c r="J15" s="18">
        <v>144</v>
      </c>
      <c r="K15" s="18">
        <v>186773</v>
      </c>
      <c r="L15" s="18">
        <v>191708</v>
      </c>
      <c r="M15" s="11">
        <f>L15*0.4</f>
        <v>76683.199999999997</v>
      </c>
      <c r="N15" s="11">
        <f t="shared" si="0"/>
        <v>8.1504821476495792E-2</v>
      </c>
      <c r="O15" s="10">
        <f t="shared" si="1"/>
        <v>244514.46442948739</v>
      </c>
      <c r="P15" s="10">
        <f t="shared" si="2"/>
        <v>244514.46442948739</v>
      </c>
      <c r="Q15" s="11">
        <f t="shared" si="3"/>
        <v>733543.39328846219</v>
      </c>
      <c r="R15" s="11">
        <f t="shared" si="4"/>
        <v>195611.57154358993</v>
      </c>
      <c r="S15" s="10">
        <f t="shared" si="5"/>
        <v>244.51446442948739</v>
      </c>
      <c r="T15" s="11">
        <f t="shared" si="6"/>
        <v>733.5433932884622</v>
      </c>
    </row>
    <row r="16" spans="4:28">
      <c r="D16" s="118">
        <v>28</v>
      </c>
      <c r="E16" s="19" t="s">
        <v>192</v>
      </c>
      <c r="F16" s="118">
        <v>50</v>
      </c>
      <c r="G16" s="19" t="s">
        <v>200</v>
      </c>
      <c r="H16" s="118">
        <v>3</v>
      </c>
      <c r="I16" s="19" t="s">
        <v>201</v>
      </c>
      <c r="J16" s="18">
        <v>81</v>
      </c>
      <c r="K16" s="18">
        <v>70274</v>
      </c>
      <c r="L16" s="18">
        <v>72885</v>
      </c>
      <c r="M16" s="11">
        <f>L16*0.4</f>
        <v>29154</v>
      </c>
      <c r="N16" s="11">
        <f t="shared" si="0"/>
        <v>3.0987120586070459E-2</v>
      </c>
      <c r="O16" s="10">
        <f t="shared" si="1"/>
        <v>92961.36175821138</v>
      </c>
      <c r="P16" s="10">
        <f t="shared" si="2"/>
        <v>92961.36175821138</v>
      </c>
      <c r="Q16" s="11">
        <f t="shared" si="3"/>
        <v>278884.08527463413</v>
      </c>
      <c r="R16" s="11">
        <f t="shared" si="4"/>
        <v>74369.08940656911</v>
      </c>
      <c r="S16" s="10">
        <f t="shared" si="5"/>
        <v>92.961361758211382</v>
      </c>
      <c r="T16" s="11">
        <f t="shared" si="6"/>
        <v>278.88408527463412</v>
      </c>
    </row>
    <row r="17" spans="4:20">
      <c r="D17" s="118">
        <v>28</v>
      </c>
      <c r="E17" s="19" t="s">
        <v>192</v>
      </c>
      <c r="F17" s="118">
        <v>50</v>
      </c>
      <c r="G17" s="19" t="s">
        <v>200</v>
      </c>
      <c r="H17" s="118">
        <v>4</v>
      </c>
      <c r="I17" s="19" t="s">
        <v>199</v>
      </c>
      <c r="J17" s="18">
        <v>87</v>
      </c>
      <c r="K17" s="18">
        <v>103648</v>
      </c>
      <c r="L17" s="18">
        <v>106953</v>
      </c>
      <c r="M17" s="11">
        <f>L17*0.33</f>
        <v>35294.490000000005</v>
      </c>
      <c r="N17" s="11">
        <f t="shared" si="0"/>
        <v>3.751370712951424E-2</v>
      </c>
      <c r="O17" s="10">
        <f t="shared" si="1"/>
        <v>112541.12138854271</v>
      </c>
      <c r="P17" s="10">
        <f t="shared" si="2"/>
        <v>112541.12138854271</v>
      </c>
      <c r="Q17" s="11">
        <f t="shared" si="3"/>
        <v>337623.36416562815</v>
      </c>
      <c r="R17" s="11">
        <f t="shared" si="4"/>
        <v>90032.897110834179</v>
      </c>
      <c r="S17" s="10">
        <f t="shared" si="5"/>
        <v>112.54112138854272</v>
      </c>
      <c r="T17" s="11">
        <f t="shared" si="6"/>
        <v>337.62336416562817</v>
      </c>
    </row>
    <row r="18" spans="4:20">
      <c r="D18" s="118">
        <v>28</v>
      </c>
      <c r="E18" s="19" t="s">
        <v>192</v>
      </c>
      <c r="F18" s="118">
        <v>61</v>
      </c>
      <c r="G18" s="19" t="s">
        <v>196</v>
      </c>
      <c r="H18" s="118">
        <v>1</v>
      </c>
      <c r="I18" s="19" t="s">
        <v>198</v>
      </c>
      <c r="J18" s="18">
        <v>111</v>
      </c>
      <c r="K18" s="18">
        <v>85380</v>
      </c>
      <c r="L18" s="18">
        <v>87795</v>
      </c>
      <c r="M18" s="11">
        <f>L18*0.4</f>
        <v>35118</v>
      </c>
      <c r="N18" s="11">
        <f t="shared" si="0"/>
        <v>3.732611994037259E-2</v>
      </c>
      <c r="O18" s="10">
        <f t="shared" si="1"/>
        <v>111978.35982111777</v>
      </c>
      <c r="P18" s="10">
        <f t="shared" si="2"/>
        <v>111978.35982111777</v>
      </c>
      <c r="Q18" s="11">
        <f t="shared" si="3"/>
        <v>335935.07946335332</v>
      </c>
      <c r="R18" s="11">
        <f t="shared" si="4"/>
        <v>89582.687856894219</v>
      </c>
      <c r="S18" s="10">
        <f t="shared" si="5"/>
        <v>111.97835982111778</v>
      </c>
      <c r="T18" s="11">
        <f t="shared" si="6"/>
        <v>335.9350794633533</v>
      </c>
    </row>
    <row r="19" spans="4:20">
      <c r="D19" s="118">
        <v>28</v>
      </c>
      <c r="E19" s="19" t="s">
        <v>192</v>
      </c>
      <c r="F19" s="118">
        <v>61</v>
      </c>
      <c r="G19" s="19" t="s">
        <v>196</v>
      </c>
      <c r="H19" s="118">
        <v>2</v>
      </c>
      <c r="I19" s="19" t="s">
        <v>197</v>
      </c>
      <c r="J19" s="18">
        <v>123</v>
      </c>
      <c r="K19" s="18">
        <v>108122</v>
      </c>
      <c r="L19" s="18">
        <v>111212</v>
      </c>
      <c r="M19" s="11">
        <f>L19*0.4</f>
        <v>44484.800000000003</v>
      </c>
      <c r="N19" s="11">
        <f t="shared" si="0"/>
        <v>4.7281877678782579E-2</v>
      </c>
      <c r="O19" s="10">
        <f t="shared" si="1"/>
        <v>141845.63303634775</v>
      </c>
      <c r="P19" s="10">
        <f t="shared" si="2"/>
        <v>141845.63303634775</v>
      </c>
      <c r="Q19" s="11">
        <f t="shared" si="3"/>
        <v>425536.89910904324</v>
      </c>
      <c r="R19" s="11">
        <f t="shared" si="4"/>
        <v>113476.5064290782</v>
      </c>
      <c r="S19" s="10">
        <f t="shared" si="5"/>
        <v>141.84563303634775</v>
      </c>
      <c r="T19" s="11">
        <f t="shared" si="6"/>
        <v>425.53689910904325</v>
      </c>
    </row>
    <row r="20" spans="4:20" ht="25.5">
      <c r="D20" s="118">
        <v>28</v>
      </c>
      <c r="E20" s="19" t="s">
        <v>192</v>
      </c>
      <c r="F20" s="118">
        <v>61</v>
      </c>
      <c r="G20" s="19" t="s">
        <v>196</v>
      </c>
      <c r="H20" s="118">
        <v>3</v>
      </c>
      <c r="I20" s="19" t="s">
        <v>195</v>
      </c>
      <c r="J20" s="18">
        <v>151</v>
      </c>
      <c r="K20" s="18">
        <v>84973</v>
      </c>
      <c r="L20" s="18">
        <v>87272</v>
      </c>
      <c r="M20" s="11">
        <f>L20*0.4</f>
        <v>34908.800000000003</v>
      </c>
      <c r="N20" s="11">
        <f t="shared" si="0"/>
        <v>3.7103766039480568E-2</v>
      </c>
      <c r="O20" s="10">
        <f t="shared" si="1"/>
        <v>111311.2981184417</v>
      </c>
      <c r="P20" s="10">
        <f t="shared" si="2"/>
        <v>111311.2981184417</v>
      </c>
      <c r="Q20" s="11">
        <f t="shared" si="3"/>
        <v>333933.89435532509</v>
      </c>
      <c r="R20" s="11">
        <f t="shared" si="4"/>
        <v>89049.03849475336</v>
      </c>
      <c r="S20" s="10">
        <f t="shared" si="5"/>
        <v>111.3112981184417</v>
      </c>
      <c r="T20" s="11">
        <f t="shared" si="6"/>
        <v>333.93389435532509</v>
      </c>
    </row>
    <row r="21" spans="4:20" ht="25.5">
      <c r="D21" s="118">
        <v>28</v>
      </c>
      <c r="E21" s="19" t="s">
        <v>192</v>
      </c>
      <c r="F21" s="118">
        <v>76</v>
      </c>
      <c r="G21" s="19" t="s">
        <v>191</v>
      </c>
      <c r="H21" s="118">
        <v>1</v>
      </c>
      <c r="I21" s="19" t="s">
        <v>194</v>
      </c>
      <c r="J21" s="18">
        <v>343</v>
      </c>
      <c r="K21" s="18">
        <v>232723</v>
      </c>
      <c r="L21" s="18">
        <v>238071</v>
      </c>
      <c r="M21" s="11">
        <f>L21*0.33</f>
        <v>78563.430000000008</v>
      </c>
      <c r="N21" s="11">
        <f t="shared" si="0"/>
        <v>8.3503274990234813E-2</v>
      </c>
      <c r="O21" s="10">
        <f t="shared" si="1"/>
        <v>250509.82497070445</v>
      </c>
      <c r="P21" s="10">
        <f t="shared" si="2"/>
        <v>250509.82497070445</v>
      </c>
      <c r="Q21" s="11">
        <f t="shared" si="3"/>
        <v>751529.47491211328</v>
      </c>
      <c r="R21" s="11">
        <f t="shared" si="4"/>
        <v>200407.85997656357</v>
      </c>
      <c r="S21" s="10">
        <f t="shared" si="5"/>
        <v>250.50982497070444</v>
      </c>
      <c r="T21" s="11">
        <f t="shared" si="6"/>
        <v>751.5294749121133</v>
      </c>
    </row>
    <row r="22" spans="4:20" ht="25.5">
      <c r="D22" s="118">
        <v>28</v>
      </c>
      <c r="E22" s="19" t="s">
        <v>192</v>
      </c>
      <c r="F22" s="118">
        <v>76</v>
      </c>
      <c r="G22" s="19" t="s">
        <v>191</v>
      </c>
      <c r="H22" s="118">
        <v>2</v>
      </c>
      <c r="I22" s="19" t="s">
        <v>193</v>
      </c>
      <c r="J22" s="18">
        <v>149</v>
      </c>
      <c r="K22" s="18">
        <v>383415</v>
      </c>
      <c r="L22" s="18">
        <v>388909</v>
      </c>
      <c r="M22" s="11">
        <f>L22*0.25</f>
        <v>97227.25</v>
      </c>
      <c r="N22" s="11">
        <f t="shared" si="0"/>
        <v>0.10334062289915685</v>
      </c>
      <c r="O22" s="10">
        <f t="shared" si="1"/>
        <v>310021.86869747058</v>
      </c>
      <c r="P22" s="10">
        <f t="shared" si="2"/>
        <v>310021.86869747058</v>
      </c>
      <c r="Q22" s="11">
        <f t="shared" si="3"/>
        <v>930065.60609241179</v>
      </c>
      <c r="R22" s="11">
        <f t="shared" si="4"/>
        <v>248017.49495797648</v>
      </c>
      <c r="S22" s="10">
        <f t="shared" si="5"/>
        <v>310.02186869747055</v>
      </c>
      <c r="T22" s="11">
        <f t="shared" si="6"/>
        <v>930.06560609241183</v>
      </c>
    </row>
    <row r="23" spans="4:20" ht="25.5">
      <c r="D23" s="118">
        <v>28</v>
      </c>
      <c r="E23" s="19" t="s">
        <v>192</v>
      </c>
      <c r="F23" s="118">
        <v>76</v>
      </c>
      <c r="G23" s="19" t="s">
        <v>191</v>
      </c>
      <c r="H23" s="118">
        <v>3</v>
      </c>
      <c r="I23" s="19" t="s">
        <v>190</v>
      </c>
      <c r="J23" s="18">
        <v>216</v>
      </c>
      <c r="K23" s="18">
        <v>638601</v>
      </c>
      <c r="L23" s="18">
        <v>648402</v>
      </c>
      <c r="M23" s="11">
        <f>L23*0.25</f>
        <v>162100.5</v>
      </c>
      <c r="N23" s="11">
        <f t="shared" si="0"/>
        <v>0.17229291831523341</v>
      </c>
      <c r="O23" s="10">
        <f t="shared" si="1"/>
        <v>516878.75494570023</v>
      </c>
      <c r="P23" s="10">
        <f t="shared" si="2"/>
        <v>516878.75494570023</v>
      </c>
      <c r="Q23" s="11">
        <f t="shared" si="3"/>
        <v>1550636.2648371006</v>
      </c>
      <c r="R23" s="11">
        <f t="shared" si="4"/>
        <v>413503.00395656022</v>
      </c>
      <c r="S23" s="10">
        <f t="shared" si="5"/>
        <v>516.87875494570028</v>
      </c>
      <c r="T23" s="11">
        <f t="shared" si="6"/>
        <v>1550.6362648371007</v>
      </c>
    </row>
    <row r="24" spans="4:20" hidden="1"/>
    <row r="25" spans="4:20" hidden="1">
      <c r="M25" s="5">
        <f t="shared" ref="M25:T25" si="7">SUM(M7:M23)</f>
        <v>940842.50000000012</v>
      </c>
      <c r="N25" s="5">
        <f t="shared" si="7"/>
        <v>0.99999999999999989</v>
      </c>
      <c r="O25" s="5">
        <f t="shared" si="7"/>
        <v>2999999.9999999995</v>
      </c>
      <c r="P25" s="5">
        <f t="shared" si="7"/>
        <v>2999999.9999999995</v>
      </c>
      <c r="Q25" s="5">
        <f t="shared" si="7"/>
        <v>9000000</v>
      </c>
      <c r="R25" s="5">
        <f t="shared" si="7"/>
        <v>2400000</v>
      </c>
      <c r="S25" s="5">
        <f t="shared" si="7"/>
        <v>2999.9999999999991</v>
      </c>
      <c r="T25" s="5">
        <f t="shared" si="7"/>
        <v>9000</v>
      </c>
    </row>
    <row r="26" spans="4:20" hidden="1">
      <c r="P26" s="6">
        <f>SUM(P7:P23)</f>
        <v>2999999.9999999995</v>
      </c>
    </row>
    <row r="27" spans="4:20" hidden="1">
      <c r="L27" s="5" t="s">
        <v>309</v>
      </c>
      <c r="M27" s="5">
        <v>3000000</v>
      </c>
    </row>
    <row r="28" spans="4:20" hidden="1">
      <c r="R28" s="5" t="s">
        <v>308</v>
      </c>
    </row>
    <row r="29" spans="4:20" hidden="1"/>
    <row r="30" spans="4:20" hidden="1">
      <c r="L30" s="5" t="s">
        <v>307</v>
      </c>
    </row>
    <row r="31" spans="4:20" hidden="1"/>
    <row r="32" spans="4:20" hidden="1">
      <c r="K32" s="5" t="s">
        <v>306</v>
      </c>
      <c r="L32" s="5">
        <v>0.25</v>
      </c>
    </row>
    <row r="33" spans="11:12" hidden="1">
      <c r="K33" s="5" t="s">
        <v>305</v>
      </c>
      <c r="L33" s="5">
        <v>0.4</v>
      </c>
    </row>
    <row r="34" spans="11:12" ht="33" hidden="1" customHeight="1">
      <c r="K34" s="5" t="s">
        <v>304</v>
      </c>
      <c r="L34" s="5">
        <v>0.3</v>
      </c>
    </row>
    <row r="35" spans="11:12" hidden="1">
      <c r="K35" s="5" t="s">
        <v>302</v>
      </c>
      <c r="L35" s="5">
        <v>0.33</v>
      </c>
    </row>
    <row r="36" spans="11:12" hidden="1"/>
  </sheetData>
  <sheetProtection sheet="1" objects="1" scenarios="1"/>
  <mergeCells count="2">
    <mergeCell ref="Y5:AB5"/>
    <mergeCell ref="V4:W4"/>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A0046-026A-4DDF-B598-C899A974942A}">
  <sheetPr codeName="Feuil16"/>
  <dimension ref="D4:BQ100"/>
  <sheetViews>
    <sheetView topLeftCell="A37" zoomScaleNormal="100" workbookViewId="0">
      <selection activeCell="K31" sqref="K31"/>
    </sheetView>
  </sheetViews>
  <sheetFormatPr baseColWidth="10" defaultRowHeight="15"/>
  <cols>
    <col min="1" max="4" width="11" style="5"/>
    <col min="5" max="5" width="21.625" style="5" customWidth="1"/>
    <col min="6" max="6" width="13" style="5" customWidth="1"/>
    <col min="7" max="7" width="16.375" style="5" customWidth="1"/>
    <col min="8" max="8" width="14.5" style="5" customWidth="1"/>
    <col min="9" max="9" width="12.5" style="5" customWidth="1"/>
    <col min="10" max="13" width="11" style="5"/>
    <col min="14" max="14" width="11" style="5" bestFit="1" customWidth="1"/>
    <col min="15" max="39" width="11" style="5"/>
    <col min="40" max="40" width="13" style="5" customWidth="1"/>
    <col min="41" max="41" width="10.25" style="5" customWidth="1"/>
    <col min="42" max="42" width="9" style="5" customWidth="1"/>
    <col min="43" max="43" width="5.75" style="5" customWidth="1"/>
    <col min="44" max="45" width="11" style="5"/>
    <col min="46" max="46" width="9.25" style="5" customWidth="1"/>
    <col min="47" max="48" width="11" style="5"/>
    <col min="49" max="49" width="10.125" style="5" customWidth="1"/>
    <col min="50" max="50" width="11" style="5"/>
    <col min="51" max="52" width="11" style="5" customWidth="1"/>
    <col min="53" max="16384" width="11" style="5"/>
  </cols>
  <sheetData>
    <row r="4" spans="4:47">
      <c r="AP4" s="5" t="s">
        <v>482</v>
      </c>
    </row>
    <row r="5" spans="4:47">
      <c r="AE5" s="166" t="s">
        <v>481</v>
      </c>
      <c r="AF5" s="166"/>
      <c r="AG5" s="166"/>
      <c r="AH5" s="166"/>
      <c r="AI5" s="166"/>
      <c r="AJ5" s="166"/>
      <c r="AK5" s="166"/>
    </row>
    <row r="6" spans="4:47" ht="90">
      <c r="D6" s="53" t="s">
        <v>229</v>
      </c>
      <c r="E6" s="53" t="s">
        <v>228</v>
      </c>
      <c r="F6" s="53" t="s">
        <v>227</v>
      </c>
      <c r="G6" s="53" t="s">
        <v>226</v>
      </c>
      <c r="H6" s="53" t="s">
        <v>225</v>
      </c>
      <c r="I6" s="53" t="s">
        <v>268</v>
      </c>
      <c r="J6" s="53" t="s">
        <v>224</v>
      </c>
      <c r="K6" s="53" t="s">
        <v>223</v>
      </c>
      <c r="L6" s="53" t="s">
        <v>222</v>
      </c>
      <c r="M6" s="53" t="s">
        <v>480</v>
      </c>
      <c r="N6" s="53" t="s">
        <v>479</v>
      </c>
      <c r="O6" s="53" t="s">
        <v>478</v>
      </c>
      <c r="P6" s="53" t="s">
        <v>477</v>
      </c>
      <c r="Q6" s="53" t="s">
        <v>469</v>
      </c>
      <c r="R6" s="53" t="s">
        <v>468</v>
      </c>
      <c r="S6" s="53" t="s">
        <v>467</v>
      </c>
      <c r="T6" s="53" t="s">
        <v>466</v>
      </c>
      <c r="U6" s="53" t="s">
        <v>465</v>
      </c>
      <c r="V6" s="53" t="s">
        <v>464</v>
      </c>
      <c r="W6" s="53" t="s">
        <v>298</v>
      </c>
      <c r="X6" s="53" t="s">
        <v>476</v>
      </c>
      <c r="Y6" s="53" t="s">
        <v>475</v>
      </c>
      <c r="Z6" s="53" t="s">
        <v>474</v>
      </c>
      <c r="AA6" s="53" t="s">
        <v>473</v>
      </c>
      <c r="AB6" s="53" t="s">
        <v>472</v>
      </c>
      <c r="AC6" s="53" t="s">
        <v>471</v>
      </c>
      <c r="AD6" s="53" t="s">
        <v>470</v>
      </c>
      <c r="AE6" s="53" t="s">
        <v>469</v>
      </c>
      <c r="AF6" s="53" t="s">
        <v>468</v>
      </c>
      <c r="AG6" s="53" t="s">
        <v>467</v>
      </c>
      <c r="AH6" s="53" t="s">
        <v>466</v>
      </c>
      <c r="AI6" s="53" t="s">
        <v>465</v>
      </c>
      <c r="AJ6" s="53" t="s">
        <v>464</v>
      </c>
      <c r="AK6" s="53" t="s">
        <v>298</v>
      </c>
      <c r="AP6" s="5" t="str">
        <f t="array" ref="AP6:AT6">TRANSPOSE(AO62:AO66)</f>
        <v>Calvados</v>
      </c>
      <c r="AQ6" s="5" t="str">
        <v>Eure</v>
      </c>
      <c r="AR6" s="5" t="str">
        <v>Manche</v>
      </c>
      <c r="AS6" s="5" t="str">
        <v xml:space="preserve">Orne </v>
      </c>
      <c r="AT6" s="5" t="str">
        <v>Seine-M</v>
      </c>
    </row>
    <row r="7" spans="4:47">
      <c r="D7" s="118">
        <v>28</v>
      </c>
      <c r="E7" s="19" t="s">
        <v>192</v>
      </c>
      <c r="F7" s="118">
        <v>14</v>
      </c>
      <c r="G7" s="19" t="s">
        <v>181</v>
      </c>
      <c r="H7" s="118">
        <v>1</v>
      </c>
      <c r="I7" s="19" t="s">
        <v>211</v>
      </c>
      <c r="J7" s="18">
        <v>123</v>
      </c>
      <c r="K7" s="18">
        <v>73516</v>
      </c>
      <c r="L7" s="18">
        <v>74932</v>
      </c>
      <c r="M7" s="11">
        <v>750</v>
      </c>
      <c r="N7" s="11">
        <f t="shared" ref="N7:N23" si="0">M7/$M$25</f>
        <v>1.1145104895104894</v>
      </c>
      <c r="O7" s="10">
        <f t="shared" ref="O7:O23" si="1">L7*N7</f>
        <v>83512.499999999985</v>
      </c>
      <c r="P7" s="16">
        <f t="shared" ref="P7:P23" si="2">O7/$O$25</f>
        <v>2.420725451949084E-2</v>
      </c>
      <c r="Q7" s="11">
        <f t="shared" ref="Q7:Q23" si="3">$Q$25*P7</f>
        <v>6.7296167564184536E-2</v>
      </c>
      <c r="R7" s="11">
        <f t="shared" ref="R7:R23" si="4">$R$25*P7</f>
        <v>4.1152332683134425</v>
      </c>
      <c r="S7" s="11">
        <f t="shared" ref="S7:S23" si="5">P7*$S$25</f>
        <v>0.2420725451949084</v>
      </c>
      <c r="T7" s="11">
        <f t="shared" ref="T7:T23" si="6">$P7*$T$25</f>
        <v>1.3798135076109779</v>
      </c>
      <c r="U7" s="11">
        <f t="shared" ref="U7:AD16" si="7">$P7*U$25</f>
        <v>2.8322487787804285</v>
      </c>
      <c r="V7" s="11">
        <f t="shared" si="7"/>
        <v>8.4725390818217935E-2</v>
      </c>
      <c r="W7" s="11">
        <f t="shared" si="7"/>
        <v>8.7342921249410477</v>
      </c>
      <c r="X7" s="11">
        <f t="shared" si="7"/>
        <v>6.0518620443817492E-2</v>
      </c>
      <c r="Y7" s="11">
        <f t="shared" si="7"/>
        <v>3.7051260658714891</v>
      </c>
      <c r="Z7" s="11">
        <f t="shared" si="7"/>
        <v>0.24773704275246927</v>
      </c>
      <c r="AA7" s="11">
        <f t="shared" si="7"/>
        <v>0.13833719740253431</v>
      </c>
      <c r="AB7" s="11">
        <f t="shared" si="7"/>
        <v>1.4218857159658529</v>
      </c>
      <c r="AC7" s="11">
        <f t="shared" si="7"/>
        <v>1.6945078163643591E-2</v>
      </c>
      <c r="AD7" s="11">
        <f t="shared" si="7"/>
        <v>0.43671460624705244</v>
      </c>
      <c r="AE7" s="11">
        <f t="shared" ref="AE7:AE23" si="8">Q7*AE$32</f>
        <v>2.0188850269255359E-2</v>
      </c>
      <c r="AF7" s="11">
        <f t="shared" ref="AF7:AF23" si="9">R7*AF$32</f>
        <v>1.2345699804940327</v>
      </c>
      <c r="AG7" s="11">
        <f t="shared" ref="AG7:AG23" si="10">S7*AG$32</f>
        <v>2.420725451949084E-2</v>
      </c>
      <c r="AH7" s="11">
        <f t="shared" ref="AH7:AH23" si="11">T7*AH$32</f>
        <v>0.17247668845137223</v>
      </c>
      <c r="AI7" s="11">
        <f t="shared" ref="AI7:AI23" si="12">U7*AI$32</f>
        <v>1.2037057309816821</v>
      </c>
      <c r="AJ7" s="11">
        <f t="shared" ref="AJ7:AJ23" si="13">V7*AJ$32</f>
        <v>2.5417617245465381E-2</v>
      </c>
      <c r="AK7" s="11">
        <f t="shared" ref="AK7:AK23" si="14">W7*AK$32</f>
        <v>1.091786515617631</v>
      </c>
      <c r="AP7" s="7">
        <f>SUM($P$7:$P$10)</f>
        <v>0.22907488332132614</v>
      </c>
      <c r="AQ7" s="7">
        <f>SUM($P11:$P$13)</f>
        <v>0.16354100509223735</v>
      </c>
      <c r="AR7" s="7">
        <f>SUM($P$14:$P$17)</f>
        <v>0.15820286589875351</v>
      </c>
      <c r="AS7" s="7">
        <f>SUM($P$18:$P$20)</f>
        <v>7.2096538629232848E-2</v>
      </c>
      <c r="AT7" s="7">
        <f>SUM($P$21:$P$23)</f>
        <v>0.37708470705845021</v>
      </c>
      <c r="AU7" s="7">
        <f>SUM(AP7:AT7)</f>
        <v>1</v>
      </c>
    </row>
    <row r="8" spans="4:47">
      <c r="D8" s="118">
        <v>28</v>
      </c>
      <c r="E8" s="19" t="s">
        <v>192</v>
      </c>
      <c r="F8" s="118">
        <v>14</v>
      </c>
      <c r="G8" s="19" t="s">
        <v>181</v>
      </c>
      <c r="H8" s="118">
        <v>2</v>
      </c>
      <c r="I8" s="19" t="s">
        <v>210</v>
      </c>
      <c r="J8" s="18">
        <v>201</v>
      </c>
      <c r="K8" s="18">
        <v>393027</v>
      </c>
      <c r="L8" s="18">
        <v>399850</v>
      </c>
      <c r="M8" s="11">
        <v>750</v>
      </c>
      <c r="N8" s="11">
        <f t="shared" si="0"/>
        <v>1.1145104895104894</v>
      </c>
      <c r="O8" s="10">
        <f t="shared" si="1"/>
        <v>445637.01923076919</v>
      </c>
      <c r="P8" s="16">
        <f t="shared" si="2"/>
        <v>0.12917406074331947</v>
      </c>
      <c r="Q8" s="11">
        <f t="shared" si="3"/>
        <v>0.35910388886642808</v>
      </c>
      <c r="R8" s="11">
        <f t="shared" si="4"/>
        <v>21.95959032636431</v>
      </c>
      <c r="S8" s="11">
        <f t="shared" si="5"/>
        <v>1.2917406074331947</v>
      </c>
      <c r="T8" s="11">
        <f t="shared" si="6"/>
        <v>7.3629214623692096</v>
      </c>
      <c r="U8" s="11">
        <f t="shared" si="7"/>
        <v>15.113365106968377</v>
      </c>
      <c r="V8" s="11">
        <f t="shared" si="7"/>
        <v>0.45210921260161813</v>
      </c>
      <c r="W8" s="11">
        <f t="shared" si="7"/>
        <v>46.607680378979325</v>
      </c>
      <c r="X8" s="11">
        <f t="shared" si="7"/>
        <v>0.32293773533951353</v>
      </c>
      <c r="Y8" s="11">
        <f t="shared" si="7"/>
        <v>19.771187976281364</v>
      </c>
      <c r="Z8" s="11">
        <f t="shared" si="7"/>
        <v>1.3219673376471315</v>
      </c>
      <c r="AA8" s="11">
        <f t="shared" si="7"/>
        <v>0.73819100492984779</v>
      </c>
      <c r="AB8" s="11">
        <f t="shared" si="7"/>
        <v>7.5874259799410986</v>
      </c>
      <c r="AC8" s="11">
        <f t="shared" si="7"/>
        <v>9.0421842520323634E-2</v>
      </c>
      <c r="AD8" s="11">
        <f t="shared" si="7"/>
        <v>2.3303840189489664</v>
      </c>
      <c r="AE8" s="11">
        <f t="shared" si="8"/>
        <v>0.10773116665992842</v>
      </c>
      <c r="AF8" s="11">
        <f t="shared" si="9"/>
        <v>6.5878770979092929</v>
      </c>
      <c r="AG8" s="11">
        <f t="shared" si="10"/>
        <v>0.12917406074331947</v>
      </c>
      <c r="AH8" s="11">
        <f t="shared" si="11"/>
        <v>0.9203651827961512</v>
      </c>
      <c r="AI8" s="11">
        <f t="shared" si="12"/>
        <v>6.4231801704615599</v>
      </c>
      <c r="AJ8" s="11">
        <f t="shared" si="13"/>
        <v>0.13563276378048544</v>
      </c>
      <c r="AK8" s="11">
        <f t="shared" si="14"/>
        <v>5.8259600473724156</v>
      </c>
    </row>
    <row r="9" spans="4:47">
      <c r="D9" s="118">
        <v>28</v>
      </c>
      <c r="E9" s="19" t="s">
        <v>192</v>
      </c>
      <c r="F9" s="118">
        <v>14</v>
      </c>
      <c r="G9" s="19" t="s">
        <v>181</v>
      </c>
      <c r="H9" s="118">
        <v>3</v>
      </c>
      <c r="I9" s="19" t="s">
        <v>209</v>
      </c>
      <c r="J9" s="18">
        <v>160</v>
      </c>
      <c r="K9" s="18">
        <v>159810</v>
      </c>
      <c r="L9" s="18">
        <v>163468</v>
      </c>
      <c r="M9" s="11">
        <v>820</v>
      </c>
      <c r="N9" s="11">
        <f t="shared" si="0"/>
        <v>1.2185314685314685</v>
      </c>
      <c r="O9" s="10">
        <f t="shared" si="1"/>
        <v>199190.90209790209</v>
      </c>
      <c r="P9" s="16">
        <f t="shared" si="2"/>
        <v>5.7738241162112243E-2</v>
      </c>
      <c r="Q9" s="11">
        <f t="shared" si="3"/>
        <v>0.16051231043067202</v>
      </c>
      <c r="R9" s="11">
        <f t="shared" si="4"/>
        <v>9.8155009975590808</v>
      </c>
      <c r="S9" s="11">
        <f t="shared" si="5"/>
        <v>0.57738241162112247</v>
      </c>
      <c r="T9" s="11">
        <f t="shared" si="6"/>
        <v>3.2910797462403978</v>
      </c>
      <c r="U9" s="11">
        <f t="shared" si="7"/>
        <v>6.7553742159671328</v>
      </c>
      <c r="V9" s="11">
        <f t="shared" si="7"/>
        <v>0.20208384406739285</v>
      </c>
      <c r="W9" s="11">
        <f t="shared" si="7"/>
        <v>20.832708008425204</v>
      </c>
      <c r="X9" s="11">
        <f t="shared" si="7"/>
        <v>0.14434675767010385</v>
      </c>
      <c r="Y9" s="11">
        <f t="shared" si="7"/>
        <v>8.8373285849111571</v>
      </c>
      <c r="Z9" s="11">
        <f t="shared" si="7"/>
        <v>0.5908931600530567</v>
      </c>
      <c r="AA9" s="11">
        <f t="shared" si="7"/>
        <v>0.32995672676912285</v>
      </c>
      <c r="AB9" s="11">
        <f t="shared" si="7"/>
        <v>3.391428809380149</v>
      </c>
      <c r="AC9" s="11">
        <f t="shared" si="7"/>
        <v>4.0416768813478575E-2</v>
      </c>
      <c r="AD9" s="11">
        <f t="shared" si="7"/>
        <v>1.0416354004212602</v>
      </c>
      <c r="AE9" s="11">
        <f t="shared" si="8"/>
        <v>4.8153693129201605E-2</v>
      </c>
      <c r="AF9" s="11">
        <f t="shared" si="9"/>
        <v>2.9446502992677241</v>
      </c>
      <c r="AG9" s="11">
        <f t="shared" si="10"/>
        <v>5.773824116211225E-2</v>
      </c>
      <c r="AH9" s="11">
        <f t="shared" si="11"/>
        <v>0.41138496828004972</v>
      </c>
      <c r="AI9" s="11">
        <f t="shared" si="12"/>
        <v>2.8710340417860314</v>
      </c>
      <c r="AJ9" s="11">
        <f t="shared" si="13"/>
        <v>6.0625153220217852E-2</v>
      </c>
      <c r="AK9" s="11">
        <f t="shared" si="14"/>
        <v>2.6040885010531505</v>
      </c>
    </row>
    <row r="10" spans="4:47">
      <c r="D10" s="118">
        <v>28</v>
      </c>
      <c r="E10" s="19" t="s">
        <v>192</v>
      </c>
      <c r="F10" s="118">
        <v>14</v>
      </c>
      <c r="G10" s="19" t="s">
        <v>181</v>
      </c>
      <c r="H10" s="118">
        <v>4</v>
      </c>
      <c r="I10" s="19" t="s">
        <v>208</v>
      </c>
      <c r="J10" s="18">
        <v>44</v>
      </c>
      <c r="K10" s="18">
        <v>71194</v>
      </c>
      <c r="L10" s="18">
        <v>73131</v>
      </c>
      <c r="M10" s="11">
        <v>570</v>
      </c>
      <c r="N10" s="11">
        <f t="shared" si="0"/>
        <v>0.84702797202797198</v>
      </c>
      <c r="O10" s="10">
        <f t="shared" si="1"/>
        <v>61944.002622377622</v>
      </c>
      <c r="P10" s="16">
        <f t="shared" si="2"/>
        <v>1.7955326896403574E-2</v>
      </c>
      <c r="Q10" s="11">
        <f t="shared" si="3"/>
        <v>4.9915808772001934E-2</v>
      </c>
      <c r="R10" s="11">
        <f t="shared" si="4"/>
        <v>3.0524055723886074</v>
      </c>
      <c r="S10" s="11">
        <f t="shared" si="5"/>
        <v>0.17955326896403573</v>
      </c>
      <c r="T10" s="11">
        <f t="shared" si="6"/>
        <v>1.0234536330950037</v>
      </c>
      <c r="U10" s="11">
        <f t="shared" si="7"/>
        <v>2.1007732468792182</v>
      </c>
      <c r="V10" s="11">
        <f t="shared" si="7"/>
        <v>6.2843644137412502E-2</v>
      </c>
      <c r="W10" s="11">
        <f t="shared" si="7"/>
        <v>6.478515363472062</v>
      </c>
      <c r="X10" s="11">
        <f t="shared" si="7"/>
        <v>4.4888676347546862E-2</v>
      </c>
      <c r="Y10" s="11">
        <f t="shared" si="7"/>
        <v>2.7482154017731864</v>
      </c>
      <c r="Z10" s="11">
        <f t="shared" si="7"/>
        <v>0.18375481545779418</v>
      </c>
      <c r="AA10" s="11">
        <f t="shared" si="7"/>
        <v>0.10260930661487751</v>
      </c>
      <c r="AB10" s="11">
        <f t="shared" si="7"/>
        <v>1.0546599912409531</v>
      </c>
      <c r="AC10" s="11">
        <f t="shared" si="7"/>
        <v>1.2568728827482502E-2</v>
      </c>
      <c r="AD10" s="11">
        <f t="shared" si="7"/>
        <v>0.32392576817360313</v>
      </c>
      <c r="AE10" s="11">
        <f t="shared" si="8"/>
        <v>1.497474263160058E-2</v>
      </c>
      <c r="AF10" s="11">
        <f t="shared" si="9"/>
        <v>0.91572167171658214</v>
      </c>
      <c r="AG10" s="11">
        <f t="shared" si="10"/>
        <v>1.7955326896403574E-2</v>
      </c>
      <c r="AH10" s="11">
        <f t="shared" si="11"/>
        <v>0.12793170413687546</v>
      </c>
      <c r="AI10" s="11">
        <f t="shared" si="12"/>
        <v>0.89282862992366774</v>
      </c>
      <c r="AJ10" s="11">
        <f t="shared" si="13"/>
        <v>1.8853093241223751E-2</v>
      </c>
      <c r="AK10" s="11">
        <f t="shared" si="14"/>
        <v>0.80981442043400775</v>
      </c>
    </row>
    <row r="11" spans="4:47">
      <c r="D11" s="118">
        <v>28</v>
      </c>
      <c r="E11" s="19" t="s">
        <v>192</v>
      </c>
      <c r="F11" s="118">
        <v>27</v>
      </c>
      <c r="G11" s="19" t="s">
        <v>205</v>
      </c>
      <c r="H11" s="118">
        <v>1</v>
      </c>
      <c r="I11" s="19" t="s">
        <v>207</v>
      </c>
      <c r="J11" s="18">
        <v>185</v>
      </c>
      <c r="K11" s="18">
        <v>235416</v>
      </c>
      <c r="L11" s="18">
        <v>240268</v>
      </c>
      <c r="M11" s="11">
        <v>650</v>
      </c>
      <c r="N11" s="11">
        <f t="shared" si="0"/>
        <v>0.96590909090909083</v>
      </c>
      <c r="O11" s="10">
        <f t="shared" si="1"/>
        <v>232077.04545454544</v>
      </c>
      <c r="P11" s="16">
        <f t="shared" si="2"/>
        <v>6.7270745187242964E-2</v>
      </c>
      <c r="Q11" s="11">
        <f t="shared" si="3"/>
        <v>0.18701267162053542</v>
      </c>
      <c r="R11" s="11">
        <f t="shared" si="4"/>
        <v>11.436026681831304</v>
      </c>
      <c r="S11" s="11">
        <f t="shared" si="5"/>
        <v>0.67270745187242964</v>
      </c>
      <c r="T11" s="11">
        <f t="shared" si="6"/>
        <v>3.8344324756728492</v>
      </c>
      <c r="U11" s="11">
        <f t="shared" si="7"/>
        <v>7.870677186907427</v>
      </c>
      <c r="V11" s="11">
        <f t="shared" si="7"/>
        <v>0.23544760815535037</v>
      </c>
      <c r="W11" s="11">
        <f t="shared" si="7"/>
        <v>24.272159383244695</v>
      </c>
      <c r="X11" s="11">
        <f t="shared" si="7"/>
        <v>0.16817820838301117</v>
      </c>
      <c r="Y11" s="11">
        <f t="shared" si="7"/>
        <v>10.296359352241629</v>
      </c>
      <c r="Z11" s="11">
        <f t="shared" si="7"/>
        <v>0.68844880624624449</v>
      </c>
      <c r="AA11" s="11">
        <f t="shared" si="7"/>
        <v>0.38443212752153738</v>
      </c>
      <c r="AB11" s="11">
        <f t="shared" si="7"/>
        <v>3.9513490308082773</v>
      </c>
      <c r="AC11" s="11">
        <f t="shared" si="7"/>
        <v>4.708952163107008E-2</v>
      </c>
      <c r="AD11" s="11">
        <f t="shared" si="7"/>
        <v>1.2136079691622348</v>
      </c>
      <c r="AE11" s="11">
        <f t="shared" si="8"/>
        <v>5.6103801486160627E-2</v>
      </c>
      <c r="AF11" s="11">
        <f t="shared" si="9"/>
        <v>3.4308080045493914</v>
      </c>
      <c r="AG11" s="11">
        <f t="shared" si="10"/>
        <v>6.7270745187242964E-2</v>
      </c>
      <c r="AH11" s="11">
        <f t="shared" si="11"/>
        <v>0.47930405945910615</v>
      </c>
      <c r="AI11" s="11">
        <f t="shared" si="12"/>
        <v>3.3450378044356563</v>
      </c>
      <c r="AJ11" s="11">
        <f t="shared" si="13"/>
        <v>7.0634282446605107E-2</v>
      </c>
      <c r="AK11" s="11">
        <f t="shared" si="14"/>
        <v>3.0340199229055869</v>
      </c>
    </row>
    <row r="12" spans="4:47">
      <c r="D12" s="118">
        <v>28</v>
      </c>
      <c r="E12" s="19" t="s">
        <v>192</v>
      </c>
      <c r="F12" s="118">
        <v>27</v>
      </c>
      <c r="G12" s="19" t="s">
        <v>205</v>
      </c>
      <c r="H12" s="118">
        <v>2</v>
      </c>
      <c r="I12" s="19" t="s">
        <v>206</v>
      </c>
      <c r="J12" s="18">
        <v>297</v>
      </c>
      <c r="K12" s="18">
        <v>225807</v>
      </c>
      <c r="L12" s="18">
        <v>230922</v>
      </c>
      <c r="M12" s="11">
        <v>600</v>
      </c>
      <c r="N12" s="11">
        <f t="shared" si="0"/>
        <v>0.89160839160839156</v>
      </c>
      <c r="O12" s="10">
        <f t="shared" si="1"/>
        <v>205891.993006993</v>
      </c>
      <c r="P12" s="16">
        <f t="shared" si="2"/>
        <v>5.9680645151869584E-2</v>
      </c>
      <c r="Q12" s="11">
        <f t="shared" si="3"/>
        <v>0.16591219352219744</v>
      </c>
      <c r="R12" s="11">
        <f t="shared" si="4"/>
        <v>10.145709675817828</v>
      </c>
      <c r="S12" s="11">
        <f t="shared" si="5"/>
        <v>0.59680645151869582</v>
      </c>
      <c r="T12" s="11">
        <f t="shared" si="6"/>
        <v>3.4017967736565664</v>
      </c>
      <c r="U12" s="11">
        <f t="shared" si="7"/>
        <v>6.9826354827687416</v>
      </c>
      <c r="V12" s="11">
        <f t="shared" si="7"/>
        <v>0.20888225803154353</v>
      </c>
      <c r="W12" s="11">
        <f t="shared" si="7"/>
        <v>21.533552619181521</v>
      </c>
      <c r="X12" s="11">
        <f t="shared" si="7"/>
        <v>0.149202806492577</v>
      </c>
      <c r="Y12" s="11">
        <f t="shared" si="7"/>
        <v>9.1346300259774313</v>
      </c>
      <c r="Z12" s="11">
        <f t="shared" si="7"/>
        <v>0.61077172248423328</v>
      </c>
      <c r="AA12" s="11">
        <f t="shared" si="7"/>
        <v>0.34105698284938912</v>
      </c>
      <c r="AB12" s="11">
        <f t="shared" si="7"/>
        <v>3.5055217349305154</v>
      </c>
      <c r="AC12" s="11">
        <f t="shared" si="7"/>
        <v>4.1776451606308711E-2</v>
      </c>
      <c r="AD12" s="11">
        <f t="shared" si="7"/>
        <v>1.076677630959076</v>
      </c>
      <c r="AE12" s="11">
        <f t="shared" si="8"/>
        <v>4.9773658056659231E-2</v>
      </c>
      <c r="AF12" s="11">
        <f t="shared" si="9"/>
        <v>3.0437129027453484</v>
      </c>
      <c r="AG12" s="11">
        <f t="shared" si="10"/>
        <v>5.9680645151869584E-2</v>
      </c>
      <c r="AH12" s="11">
        <f t="shared" si="11"/>
        <v>0.4252245967070708</v>
      </c>
      <c r="AI12" s="11">
        <f t="shared" si="12"/>
        <v>2.9676200801767152</v>
      </c>
      <c r="AJ12" s="11">
        <f t="shared" si="13"/>
        <v>6.2664677409463063E-2</v>
      </c>
      <c r="AK12" s="11">
        <f t="shared" si="14"/>
        <v>2.6916940773976901</v>
      </c>
    </row>
    <row r="13" spans="4:47">
      <c r="D13" s="118">
        <v>28</v>
      </c>
      <c r="E13" s="19" t="s">
        <v>192</v>
      </c>
      <c r="F13" s="118">
        <v>27</v>
      </c>
      <c r="G13" s="19" t="s">
        <v>205</v>
      </c>
      <c r="H13" s="118">
        <v>3</v>
      </c>
      <c r="I13" s="19" t="s">
        <v>204</v>
      </c>
      <c r="J13" s="18">
        <v>103</v>
      </c>
      <c r="K13" s="18">
        <v>138445</v>
      </c>
      <c r="L13" s="18">
        <v>141576</v>
      </c>
      <c r="M13" s="11">
        <v>600</v>
      </c>
      <c r="N13" s="11">
        <f t="shared" si="0"/>
        <v>0.89160839160839156</v>
      </c>
      <c r="O13" s="10">
        <f t="shared" si="1"/>
        <v>126230.34965034964</v>
      </c>
      <c r="P13" s="16">
        <f t="shared" si="2"/>
        <v>3.6589614753124812E-2</v>
      </c>
      <c r="Q13" s="11">
        <f t="shared" si="3"/>
        <v>0.10171912901368697</v>
      </c>
      <c r="R13" s="11">
        <f t="shared" si="4"/>
        <v>6.2202345080312185</v>
      </c>
      <c r="S13" s="11">
        <f t="shared" si="5"/>
        <v>0.36589614753124811</v>
      </c>
      <c r="T13" s="11">
        <f t="shared" si="6"/>
        <v>2.0856080409281144</v>
      </c>
      <c r="U13" s="11">
        <f t="shared" si="7"/>
        <v>4.280984926115603</v>
      </c>
      <c r="V13" s="11">
        <f t="shared" si="7"/>
        <v>0.12806365163593683</v>
      </c>
      <c r="W13" s="11">
        <f t="shared" si="7"/>
        <v>13.202008667919223</v>
      </c>
      <c r="X13" s="11">
        <f t="shared" si="7"/>
        <v>9.1474768675107093E-2</v>
      </c>
      <c r="Y13" s="11">
        <f t="shared" si="7"/>
        <v>5.6003515496911547</v>
      </c>
      <c r="Z13" s="11">
        <f t="shared" si="7"/>
        <v>0.37445811738347934</v>
      </c>
      <c r="AA13" s="11">
        <f t="shared" si="7"/>
        <v>0.20909867142968239</v>
      </c>
      <c r="AB13" s="11">
        <f t="shared" si="7"/>
        <v>2.1492007913690454</v>
      </c>
      <c r="AC13" s="11">
        <f t="shared" si="7"/>
        <v>2.5612730327187371E-2</v>
      </c>
      <c r="AD13" s="11">
        <f t="shared" si="7"/>
        <v>0.66010043339596114</v>
      </c>
      <c r="AE13" s="11">
        <f t="shared" si="8"/>
        <v>3.051573870410609E-2</v>
      </c>
      <c r="AF13" s="11">
        <f t="shared" si="9"/>
        <v>1.8660703524093654</v>
      </c>
      <c r="AG13" s="11">
        <f t="shared" si="10"/>
        <v>3.6589614753124812E-2</v>
      </c>
      <c r="AH13" s="11">
        <f t="shared" si="11"/>
        <v>0.26070100511601429</v>
      </c>
      <c r="AI13" s="11">
        <f t="shared" si="12"/>
        <v>1.8194185935991312</v>
      </c>
      <c r="AJ13" s="11">
        <f t="shared" si="13"/>
        <v>3.8419095490781048E-2</v>
      </c>
      <c r="AK13" s="11">
        <f t="shared" si="14"/>
        <v>1.6502510834899029</v>
      </c>
    </row>
    <row r="14" spans="4:47">
      <c r="D14" s="118">
        <v>28</v>
      </c>
      <c r="E14" s="19" t="s">
        <v>192</v>
      </c>
      <c r="F14" s="118">
        <v>50</v>
      </c>
      <c r="G14" s="19" t="s">
        <v>200</v>
      </c>
      <c r="H14" s="118">
        <v>1</v>
      </c>
      <c r="I14" s="19" t="s">
        <v>203</v>
      </c>
      <c r="J14" s="18">
        <v>134</v>
      </c>
      <c r="K14" s="18">
        <v>134398</v>
      </c>
      <c r="L14" s="18">
        <v>138960</v>
      </c>
      <c r="M14" s="11">
        <v>650</v>
      </c>
      <c r="N14" s="11">
        <f t="shared" si="0"/>
        <v>0.96590909090909083</v>
      </c>
      <c r="O14" s="10">
        <f t="shared" si="1"/>
        <v>134222.72727272726</v>
      </c>
      <c r="P14" s="16">
        <f t="shared" si="2"/>
        <v>3.8906316077127544E-2</v>
      </c>
      <c r="Q14" s="11">
        <f t="shared" si="3"/>
        <v>0.10815955869441457</v>
      </c>
      <c r="R14" s="11">
        <f t="shared" si="4"/>
        <v>6.6140737331116828</v>
      </c>
      <c r="S14" s="11">
        <f t="shared" si="5"/>
        <v>0.38906316077127545</v>
      </c>
      <c r="T14" s="11">
        <f t="shared" si="6"/>
        <v>2.2176600163962701</v>
      </c>
      <c r="U14" s="11">
        <f t="shared" si="7"/>
        <v>4.552038981023923</v>
      </c>
      <c r="V14" s="11">
        <f t="shared" si="7"/>
        <v>0.13617210626994641</v>
      </c>
      <c r="W14" s="11">
        <f t="shared" si="7"/>
        <v>14.037904622736621</v>
      </c>
      <c r="X14" s="11">
        <f t="shared" si="7"/>
        <v>9.7266568319140406E-2</v>
      </c>
      <c r="Y14" s="11">
        <f t="shared" si="7"/>
        <v>5.9549423792910261</v>
      </c>
      <c r="Z14" s="11">
        <f t="shared" si="7"/>
        <v>0.39816723873332327</v>
      </c>
      <c r="AA14" s="11">
        <f t="shared" si="7"/>
        <v>0.22233792448596079</v>
      </c>
      <c r="AB14" s="11">
        <f t="shared" si="7"/>
        <v>2.2852791937383174</v>
      </c>
      <c r="AC14" s="11">
        <f t="shared" si="7"/>
        <v>2.7234421253989283E-2</v>
      </c>
      <c r="AD14" s="11">
        <f t="shared" si="7"/>
        <v>0.70189523113683094</v>
      </c>
      <c r="AE14" s="11">
        <f t="shared" si="8"/>
        <v>3.2447867608324368E-2</v>
      </c>
      <c r="AF14" s="11">
        <f t="shared" si="9"/>
        <v>1.9842221199335048</v>
      </c>
      <c r="AG14" s="11">
        <f t="shared" si="10"/>
        <v>3.8906316077127551E-2</v>
      </c>
      <c r="AH14" s="11">
        <f t="shared" si="11"/>
        <v>0.27720750204953376</v>
      </c>
      <c r="AI14" s="11">
        <f t="shared" si="12"/>
        <v>1.9346165669351671</v>
      </c>
      <c r="AJ14" s="11">
        <f t="shared" si="13"/>
        <v>4.0851631880983924E-2</v>
      </c>
      <c r="AK14" s="11">
        <f t="shared" si="14"/>
        <v>1.7547380778420776</v>
      </c>
    </row>
    <row r="15" spans="4:47">
      <c r="D15" s="118">
        <v>28</v>
      </c>
      <c r="E15" s="19" t="s">
        <v>192</v>
      </c>
      <c r="F15" s="118">
        <v>50</v>
      </c>
      <c r="G15" s="19" t="s">
        <v>200</v>
      </c>
      <c r="H15" s="118">
        <v>2</v>
      </c>
      <c r="I15" s="19" t="s">
        <v>202</v>
      </c>
      <c r="J15" s="18">
        <v>144</v>
      </c>
      <c r="K15" s="18">
        <v>186773</v>
      </c>
      <c r="L15" s="18">
        <v>191708</v>
      </c>
      <c r="M15" s="11">
        <v>750</v>
      </c>
      <c r="N15" s="11">
        <f t="shared" si="0"/>
        <v>1.1145104895104894</v>
      </c>
      <c r="O15" s="10">
        <f t="shared" si="1"/>
        <v>213660.57692307691</v>
      </c>
      <c r="P15" s="16">
        <f t="shared" si="2"/>
        <v>6.1932476771239933E-2</v>
      </c>
      <c r="Q15" s="11">
        <f t="shared" si="3"/>
        <v>0.172172285424047</v>
      </c>
      <c r="R15" s="11">
        <f t="shared" si="4"/>
        <v>10.528521051110788</v>
      </c>
      <c r="S15" s="11">
        <f t="shared" si="5"/>
        <v>0.6193247677123993</v>
      </c>
      <c r="T15" s="11">
        <f t="shared" si="6"/>
        <v>3.5301511759606763</v>
      </c>
      <c r="U15" s="11">
        <f t="shared" si="7"/>
        <v>7.2460997822350723</v>
      </c>
      <c r="V15" s="11">
        <f t="shared" si="7"/>
        <v>0.21676366869933977</v>
      </c>
      <c r="W15" s="11">
        <f t="shared" si="7"/>
        <v>22.346042741261392</v>
      </c>
      <c r="X15" s="11">
        <f t="shared" si="7"/>
        <v>0.15483243057763527</v>
      </c>
      <c r="Y15" s="11">
        <f t="shared" si="7"/>
        <v>9.4792919958908275</v>
      </c>
      <c r="Z15" s="11">
        <f t="shared" si="7"/>
        <v>0.63381696727686943</v>
      </c>
      <c r="AA15" s="11">
        <f t="shared" si="7"/>
        <v>0.35392552500460489</v>
      </c>
      <c r="AB15" s="11">
        <f t="shared" si="7"/>
        <v>3.6377898205890911</v>
      </c>
      <c r="AC15" s="11">
        <f t="shared" si="7"/>
        <v>4.3352733739867956E-2</v>
      </c>
      <c r="AD15" s="11">
        <f t="shared" si="7"/>
        <v>1.1173021370630696</v>
      </c>
      <c r="AE15" s="11">
        <f t="shared" si="8"/>
        <v>5.1651685627214096E-2</v>
      </c>
      <c r="AF15" s="11">
        <f t="shared" si="9"/>
        <v>3.1585563153332363</v>
      </c>
      <c r="AG15" s="11">
        <f t="shared" si="10"/>
        <v>6.1932476771239933E-2</v>
      </c>
      <c r="AH15" s="11">
        <f t="shared" si="11"/>
        <v>0.44126889699508454</v>
      </c>
      <c r="AI15" s="11">
        <f t="shared" si="12"/>
        <v>3.0795924074499057</v>
      </c>
      <c r="AJ15" s="11">
        <f t="shared" si="13"/>
        <v>6.5029100609801924E-2</v>
      </c>
      <c r="AK15" s="11">
        <f t="shared" si="14"/>
        <v>2.7932553426576741</v>
      </c>
    </row>
    <row r="16" spans="4:47">
      <c r="D16" s="118">
        <v>28</v>
      </c>
      <c r="E16" s="19" t="s">
        <v>192</v>
      </c>
      <c r="F16" s="118">
        <v>50</v>
      </c>
      <c r="G16" s="19" t="s">
        <v>200</v>
      </c>
      <c r="H16" s="118">
        <v>3</v>
      </c>
      <c r="I16" s="19" t="s">
        <v>201</v>
      </c>
      <c r="J16" s="18">
        <v>81</v>
      </c>
      <c r="K16" s="18">
        <v>70274</v>
      </c>
      <c r="L16" s="18">
        <v>72885</v>
      </c>
      <c r="M16" s="11">
        <v>800</v>
      </c>
      <c r="N16" s="11">
        <f t="shared" si="0"/>
        <v>1.1888111888111887</v>
      </c>
      <c r="O16" s="10">
        <f t="shared" si="1"/>
        <v>86646.503496503487</v>
      </c>
      <c r="P16" s="16">
        <f t="shared" si="2"/>
        <v>2.5115688829382588E-2</v>
      </c>
      <c r="Q16" s="11">
        <f t="shared" si="3"/>
        <v>6.9821614945683591E-2</v>
      </c>
      <c r="R16" s="11">
        <f t="shared" si="4"/>
        <v>4.26966710099504</v>
      </c>
      <c r="S16" s="11">
        <f t="shared" si="5"/>
        <v>0.25115688829382588</v>
      </c>
      <c r="T16" s="11">
        <f t="shared" si="6"/>
        <v>1.4315942632748075</v>
      </c>
      <c r="U16" s="11">
        <f t="shared" si="7"/>
        <v>2.9385355930377628</v>
      </c>
      <c r="V16" s="11">
        <f t="shared" si="7"/>
        <v>8.7904910902839056E-2</v>
      </c>
      <c r="W16" s="11">
        <f t="shared" si="7"/>
        <v>9.0620670335960192</v>
      </c>
      <c r="X16" s="11">
        <f t="shared" si="7"/>
        <v>6.2789724387233056E-2</v>
      </c>
      <c r="Y16" s="11">
        <f t="shared" si="7"/>
        <v>3.8441696586920551</v>
      </c>
      <c r="Z16" s="11">
        <f t="shared" si="7"/>
        <v>0.25703395947990137</v>
      </c>
      <c r="AA16" s="11">
        <f t="shared" si="7"/>
        <v>0.14352862695327268</v>
      </c>
      <c r="AB16" s="11">
        <f t="shared" si="7"/>
        <v>1.4752453304602744</v>
      </c>
      <c r="AC16" s="11">
        <f t="shared" si="7"/>
        <v>1.7580982180567813E-2</v>
      </c>
      <c r="AD16" s="11">
        <f t="shared" si="7"/>
        <v>0.45310335167980098</v>
      </c>
      <c r="AE16" s="11">
        <f t="shared" si="8"/>
        <v>2.0946484483705077E-2</v>
      </c>
      <c r="AF16" s="11">
        <f t="shared" si="9"/>
        <v>1.2809001302985119</v>
      </c>
      <c r="AG16" s="11">
        <f t="shared" si="10"/>
        <v>2.5115688829382588E-2</v>
      </c>
      <c r="AH16" s="11">
        <f t="shared" si="11"/>
        <v>0.17894928290935094</v>
      </c>
      <c r="AI16" s="11">
        <f t="shared" si="12"/>
        <v>1.2488776270410491</v>
      </c>
      <c r="AJ16" s="11">
        <f t="shared" si="13"/>
        <v>2.6371473270851715E-2</v>
      </c>
      <c r="AK16" s="11">
        <f t="shared" si="14"/>
        <v>1.1327583791995024</v>
      </c>
    </row>
    <row r="17" spans="4:37">
      <c r="D17" s="118">
        <v>28</v>
      </c>
      <c r="E17" s="19" t="s">
        <v>192</v>
      </c>
      <c r="F17" s="118">
        <v>50</v>
      </c>
      <c r="G17" s="19" t="s">
        <v>200</v>
      </c>
      <c r="H17" s="118">
        <v>4</v>
      </c>
      <c r="I17" s="19" t="s">
        <v>199</v>
      </c>
      <c r="J17" s="18">
        <v>87</v>
      </c>
      <c r="K17" s="18">
        <v>103648</v>
      </c>
      <c r="L17" s="18">
        <v>106953</v>
      </c>
      <c r="M17" s="11">
        <v>700</v>
      </c>
      <c r="N17" s="11">
        <f t="shared" si="0"/>
        <v>1.0402097902097902</v>
      </c>
      <c r="O17" s="10">
        <f t="shared" si="1"/>
        <v>111253.55769230769</v>
      </c>
      <c r="P17" s="16">
        <f t="shared" si="2"/>
        <v>3.224838422100345E-2</v>
      </c>
      <c r="Q17" s="11">
        <f t="shared" si="3"/>
        <v>8.9650508134389587E-2</v>
      </c>
      <c r="R17" s="11">
        <f t="shared" si="4"/>
        <v>5.4822253175705864</v>
      </c>
      <c r="S17" s="11">
        <f t="shared" si="5"/>
        <v>0.32248384221003451</v>
      </c>
      <c r="T17" s="11">
        <f t="shared" si="6"/>
        <v>1.8381579005971966</v>
      </c>
      <c r="U17" s="11">
        <f t="shared" ref="U17:AD23" si="15">$P17*U$25</f>
        <v>3.7730609538574038</v>
      </c>
      <c r="V17" s="11">
        <f t="shared" si="15"/>
        <v>0.11286934477351207</v>
      </c>
      <c r="W17" s="11">
        <f t="shared" si="15"/>
        <v>11.635636255932917</v>
      </c>
      <c r="X17" s="11">
        <f t="shared" si="15"/>
        <v>8.0621605520193054E-2</v>
      </c>
      <c r="Y17" s="11">
        <f t="shared" si="15"/>
        <v>4.9358893162904565</v>
      </c>
      <c r="Z17" s="11">
        <f t="shared" si="15"/>
        <v>0.33002996411774932</v>
      </c>
      <c r="AA17" s="11">
        <f t="shared" si="15"/>
        <v>0.18428984130776843</v>
      </c>
      <c r="AB17" s="11">
        <f t="shared" si="15"/>
        <v>1.8942055923733006</v>
      </c>
      <c r="AC17" s="11">
        <f t="shared" si="15"/>
        <v>2.2573868954702418E-2</v>
      </c>
      <c r="AD17" s="11">
        <f t="shared" si="15"/>
        <v>0.58178181279664587</v>
      </c>
      <c r="AE17" s="11">
        <f t="shared" si="8"/>
        <v>2.6895152440316875E-2</v>
      </c>
      <c r="AF17" s="11">
        <f t="shared" si="9"/>
        <v>1.6446675952711758</v>
      </c>
      <c r="AG17" s="11">
        <f t="shared" si="10"/>
        <v>3.224838422100345E-2</v>
      </c>
      <c r="AH17" s="11">
        <f t="shared" si="11"/>
        <v>0.22976973757464958</v>
      </c>
      <c r="AI17" s="11">
        <f t="shared" si="12"/>
        <v>1.6035509053893966</v>
      </c>
      <c r="AJ17" s="11">
        <f t="shared" si="13"/>
        <v>3.3860803432053617E-2</v>
      </c>
      <c r="AK17" s="11">
        <f t="shared" si="14"/>
        <v>1.4544545319916147</v>
      </c>
    </row>
    <row r="18" spans="4:37">
      <c r="D18" s="118">
        <v>28</v>
      </c>
      <c r="E18" s="19" t="s">
        <v>192</v>
      </c>
      <c r="F18" s="118">
        <v>61</v>
      </c>
      <c r="G18" s="19" t="s">
        <v>196</v>
      </c>
      <c r="H18" s="118">
        <v>1</v>
      </c>
      <c r="I18" s="19" t="s">
        <v>198</v>
      </c>
      <c r="J18" s="18">
        <v>111</v>
      </c>
      <c r="K18" s="18">
        <v>85380</v>
      </c>
      <c r="L18" s="18">
        <v>87795</v>
      </c>
      <c r="M18" s="11">
        <v>550</v>
      </c>
      <c r="N18" s="11">
        <f t="shared" si="0"/>
        <v>0.81730769230769229</v>
      </c>
      <c r="O18" s="10">
        <f t="shared" si="1"/>
        <v>71755.528846153844</v>
      </c>
      <c r="P18" s="16">
        <f t="shared" si="2"/>
        <v>2.079933363220492E-2</v>
      </c>
      <c r="Q18" s="11">
        <f t="shared" si="3"/>
        <v>5.7822147497529675E-2</v>
      </c>
      <c r="R18" s="11">
        <f t="shared" si="4"/>
        <v>3.5358867174748365</v>
      </c>
      <c r="S18" s="11">
        <f t="shared" si="5"/>
        <v>0.20799333632204919</v>
      </c>
      <c r="T18" s="11">
        <f t="shared" si="6"/>
        <v>1.1855620170356804</v>
      </c>
      <c r="U18" s="11">
        <f t="shared" si="15"/>
        <v>2.4335220349679756</v>
      </c>
      <c r="V18" s="11">
        <f t="shared" si="15"/>
        <v>7.2797667712717215E-2</v>
      </c>
      <c r="W18" s="11">
        <f t="shared" si="15"/>
        <v>7.5046699658367535</v>
      </c>
      <c r="X18" s="11">
        <f t="shared" si="15"/>
        <v>5.1998750067184948E-2</v>
      </c>
      <c r="Y18" s="11">
        <f t="shared" si="15"/>
        <v>3.1835148067448369</v>
      </c>
      <c r="Z18" s="11">
        <f t="shared" si="15"/>
        <v>0.21286038039198515</v>
      </c>
      <c r="AA18" s="11">
        <f t="shared" si="15"/>
        <v>0.11886195190796146</v>
      </c>
      <c r="AB18" s="11">
        <f t="shared" si="15"/>
        <v>1.2217112588884527</v>
      </c>
      <c r="AC18" s="11">
        <f t="shared" si="15"/>
        <v>1.4559533542543445E-2</v>
      </c>
      <c r="AD18" s="11">
        <f t="shared" si="15"/>
        <v>0.37523349829183766</v>
      </c>
      <c r="AE18" s="11">
        <f t="shared" si="8"/>
        <v>1.7346644249258903E-2</v>
      </c>
      <c r="AF18" s="11">
        <f t="shared" si="9"/>
        <v>1.060766015242451</v>
      </c>
      <c r="AG18" s="11">
        <f t="shared" si="10"/>
        <v>2.079933363220492E-2</v>
      </c>
      <c r="AH18" s="11">
        <f t="shared" si="11"/>
        <v>0.14819525212946005</v>
      </c>
      <c r="AI18" s="11">
        <f t="shared" si="12"/>
        <v>1.0342468648613896</v>
      </c>
      <c r="AJ18" s="11">
        <f t="shared" si="13"/>
        <v>2.1839300313815164E-2</v>
      </c>
      <c r="AK18" s="11">
        <f t="shared" si="14"/>
        <v>0.93808374572959419</v>
      </c>
    </row>
    <row r="19" spans="4:37">
      <c r="D19" s="118">
        <v>28</v>
      </c>
      <c r="E19" s="19" t="s">
        <v>192</v>
      </c>
      <c r="F19" s="118">
        <v>61</v>
      </c>
      <c r="G19" s="19" t="s">
        <v>196</v>
      </c>
      <c r="H19" s="118">
        <v>2</v>
      </c>
      <c r="I19" s="19" t="s">
        <v>197</v>
      </c>
      <c r="J19" s="18">
        <v>123</v>
      </c>
      <c r="K19" s="18">
        <v>108122</v>
      </c>
      <c r="L19" s="18">
        <v>111212</v>
      </c>
      <c r="M19" s="11">
        <v>600</v>
      </c>
      <c r="N19" s="11">
        <f t="shared" si="0"/>
        <v>0.89160839160839156</v>
      </c>
      <c r="O19" s="10">
        <f t="shared" si="1"/>
        <v>99157.552447552443</v>
      </c>
      <c r="P19" s="16">
        <f t="shared" si="2"/>
        <v>2.8742189607875043E-2</v>
      </c>
      <c r="Q19" s="11">
        <f t="shared" si="3"/>
        <v>7.9903287109892612E-2</v>
      </c>
      <c r="R19" s="11">
        <f t="shared" si="4"/>
        <v>4.8861722333387574</v>
      </c>
      <c r="S19" s="11">
        <f t="shared" si="5"/>
        <v>0.28742189607875046</v>
      </c>
      <c r="T19" s="11">
        <f t="shared" si="6"/>
        <v>1.6383048076488775</v>
      </c>
      <c r="U19" s="11">
        <f t="shared" si="15"/>
        <v>3.3628361841213801</v>
      </c>
      <c r="V19" s="11">
        <f t="shared" si="15"/>
        <v>0.10059766362756264</v>
      </c>
      <c r="W19" s="11">
        <f t="shared" si="15"/>
        <v>10.370555658986218</v>
      </c>
      <c r="X19" s="11">
        <f t="shared" si="15"/>
        <v>7.1856048863479766E-2</v>
      </c>
      <c r="Y19" s="11">
        <f t="shared" si="15"/>
        <v>4.3992364280969429</v>
      </c>
      <c r="Z19" s="11">
        <f t="shared" si="15"/>
        <v>0.29414756844699319</v>
      </c>
      <c r="AA19" s="11">
        <f t="shared" si="15"/>
        <v>0.16425299095212353</v>
      </c>
      <c r="AB19" s="11">
        <f t="shared" si="15"/>
        <v>1.6882587331873642</v>
      </c>
      <c r="AC19" s="11">
        <f t="shared" si="15"/>
        <v>2.0119532725512531E-2</v>
      </c>
      <c r="AD19" s="11">
        <f t="shared" si="15"/>
        <v>0.5185277829493109</v>
      </c>
      <c r="AE19" s="11">
        <f t="shared" si="8"/>
        <v>2.3970986132967782E-2</v>
      </c>
      <c r="AF19" s="11">
        <f t="shared" si="9"/>
        <v>1.4658516700016271</v>
      </c>
      <c r="AG19" s="11">
        <f t="shared" si="10"/>
        <v>2.8742189607875047E-2</v>
      </c>
      <c r="AH19" s="11">
        <f t="shared" si="11"/>
        <v>0.20478810095610969</v>
      </c>
      <c r="AI19" s="11">
        <f t="shared" si="12"/>
        <v>1.4292053782515866</v>
      </c>
      <c r="AJ19" s="11">
        <f t="shared" si="13"/>
        <v>3.0179299088268791E-2</v>
      </c>
      <c r="AK19" s="11">
        <f t="shared" si="14"/>
        <v>1.2963194573732773</v>
      </c>
    </row>
    <row r="20" spans="4:37" ht="25.5">
      <c r="D20" s="118">
        <v>28</v>
      </c>
      <c r="E20" s="19" t="s">
        <v>192</v>
      </c>
      <c r="F20" s="118">
        <v>61</v>
      </c>
      <c r="G20" s="19" t="s">
        <v>196</v>
      </c>
      <c r="H20" s="118">
        <v>3</v>
      </c>
      <c r="I20" s="19" t="s">
        <v>195</v>
      </c>
      <c r="J20" s="18">
        <v>151</v>
      </c>
      <c r="K20" s="18">
        <v>84973</v>
      </c>
      <c r="L20" s="18">
        <v>87272</v>
      </c>
      <c r="M20" s="11">
        <v>600</v>
      </c>
      <c r="N20" s="11">
        <f t="shared" si="0"/>
        <v>0.89160839160839156</v>
      </c>
      <c r="O20" s="10">
        <f t="shared" si="1"/>
        <v>77812.447552447542</v>
      </c>
      <c r="P20" s="16">
        <f t="shared" si="2"/>
        <v>2.2555015389152881E-2</v>
      </c>
      <c r="Q20" s="11">
        <f t="shared" si="3"/>
        <v>6.2702942781845003E-2</v>
      </c>
      <c r="R20" s="11">
        <f t="shared" si="4"/>
        <v>3.8343526161559898</v>
      </c>
      <c r="S20" s="11">
        <f t="shared" si="5"/>
        <v>0.22555015389152883</v>
      </c>
      <c r="T20" s="11">
        <f t="shared" si="6"/>
        <v>1.2856358771817142</v>
      </c>
      <c r="U20" s="11">
        <f t="shared" si="15"/>
        <v>2.6389368005308871</v>
      </c>
      <c r="V20" s="11">
        <f t="shared" si="15"/>
        <v>7.8942553862035081E-2</v>
      </c>
      <c r="W20" s="11">
        <f t="shared" si="15"/>
        <v>8.1381427676064177</v>
      </c>
      <c r="X20" s="11">
        <f t="shared" si="15"/>
        <v>5.6387989573189988E-2</v>
      </c>
      <c r="Y20" s="11">
        <f t="shared" si="15"/>
        <v>3.4522368229406566</v>
      </c>
      <c r="Z20" s="11">
        <f t="shared" si="15"/>
        <v>0.2308280274925906</v>
      </c>
      <c r="AA20" s="11">
        <f t="shared" si="15"/>
        <v>0.12889514644439198</v>
      </c>
      <c r="AB20" s="11">
        <f t="shared" si="15"/>
        <v>1.3248364939280619</v>
      </c>
      <c r="AC20" s="11">
        <f t="shared" si="15"/>
        <v>1.5788510772407019E-2</v>
      </c>
      <c r="AD20" s="11">
        <f t="shared" si="15"/>
        <v>0.40690713838032089</v>
      </c>
      <c r="AE20" s="11">
        <f t="shared" si="8"/>
        <v>1.88108828345535E-2</v>
      </c>
      <c r="AF20" s="11">
        <f t="shared" si="9"/>
        <v>1.1503057848467968</v>
      </c>
      <c r="AG20" s="11">
        <f t="shared" si="10"/>
        <v>2.2555015389152885E-2</v>
      </c>
      <c r="AH20" s="11">
        <f t="shared" si="11"/>
        <v>0.16070448464771428</v>
      </c>
      <c r="AI20" s="11">
        <f t="shared" si="12"/>
        <v>1.1215481402256269</v>
      </c>
      <c r="AJ20" s="11">
        <f t="shared" si="13"/>
        <v>2.3682766158610525E-2</v>
      </c>
      <c r="AK20" s="11">
        <f t="shared" si="14"/>
        <v>1.0172678459508022</v>
      </c>
    </row>
    <row r="21" spans="4:37">
      <c r="D21" s="118">
        <v>28</v>
      </c>
      <c r="E21" s="19" t="s">
        <v>192</v>
      </c>
      <c r="F21" s="118">
        <v>76</v>
      </c>
      <c r="G21" s="19" t="s">
        <v>191</v>
      </c>
      <c r="H21" s="118">
        <v>1</v>
      </c>
      <c r="I21" s="19" t="s">
        <v>194</v>
      </c>
      <c r="J21" s="18">
        <v>343</v>
      </c>
      <c r="K21" s="18">
        <v>232723</v>
      </c>
      <c r="L21" s="18">
        <v>238071</v>
      </c>
      <c r="M21" s="11">
        <v>600</v>
      </c>
      <c r="N21" s="11">
        <f t="shared" si="0"/>
        <v>0.89160839160839156</v>
      </c>
      <c r="O21" s="10">
        <f t="shared" si="1"/>
        <v>212266.1013986014</v>
      </c>
      <c r="P21" s="16">
        <f t="shared" si="2"/>
        <v>6.1528268731219825E-2</v>
      </c>
      <c r="Q21" s="11">
        <f t="shared" si="3"/>
        <v>0.17104858707279111</v>
      </c>
      <c r="R21" s="11">
        <f t="shared" si="4"/>
        <v>10.459805684307371</v>
      </c>
      <c r="S21" s="11">
        <f t="shared" si="5"/>
        <v>0.61528268731219826</v>
      </c>
      <c r="T21" s="11">
        <f t="shared" si="6"/>
        <v>3.5071113176795299</v>
      </c>
      <c r="U21" s="11">
        <f t="shared" si="15"/>
        <v>7.1988074415527192</v>
      </c>
      <c r="V21" s="11">
        <f t="shared" si="15"/>
        <v>0.2153489405592694</v>
      </c>
      <c r="W21" s="11">
        <f t="shared" si="15"/>
        <v>22.200199225717618</v>
      </c>
      <c r="X21" s="11">
        <f t="shared" si="15"/>
        <v>0.15382190239342419</v>
      </c>
      <c r="Y21" s="11">
        <f t="shared" si="15"/>
        <v>9.4174245195974109</v>
      </c>
      <c r="Z21" s="11">
        <f t="shared" si="15"/>
        <v>0.62968030219530369</v>
      </c>
      <c r="AA21" s="11">
        <f t="shared" si="15"/>
        <v>0.35161559731830194</v>
      </c>
      <c r="AB21" s="11">
        <f t="shared" si="15"/>
        <v>3.6140474487343899</v>
      </c>
      <c r="AC21" s="11">
        <f t="shared" si="15"/>
        <v>4.3069788111853878E-2</v>
      </c>
      <c r="AD21" s="11">
        <f t="shared" si="15"/>
        <v>1.1100099612858809</v>
      </c>
      <c r="AE21" s="11">
        <f t="shared" si="8"/>
        <v>5.1314576121837333E-2</v>
      </c>
      <c r="AF21" s="11">
        <f t="shared" si="9"/>
        <v>3.1379417052922114</v>
      </c>
      <c r="AG21" s="11">
        <f t="shared" si="10"/>
        <v>6.1528268731219832E-2</v>
      </c>
      <c r="AH21" s="11">
        <f t="shared" si="11"/>
        <v>0.43838891470994124</v>
      </c>
      <c r="AI21" s="11">
        <f t="shared" si="12"/>
        <v>3.0594931626599058</v>
      </c>
      <c r="AJ21" s="11">
        <f t="shared" si="13"/>
        <v>6.4604682167780814E-2</v>
      </c>
      <c r="AK21" s="11">
        <f t="shared" si="14"/>
        <v>2.7750249032147023</v>
      </c>
    </row>
    <row r="22" spans="4:37">
      <c r="D22" s="118">
        <v>28</v>
      </c>
      <c r="E22" s="19" t="s">
        <v>192</v>
      </c>
      <c r="F22" s="118">
        <v>76</v>
      </c>
      <c r="G22" s="19" t="s">
        <v>191</v>
      </c>
      <c r="H22" s="118">
        <v>2</v>
      </c>
      <c r="I22" s="19" t="s">
        <v>193</v>
      </c>
      <c r="J22" s="18">
        <v>149</v>
      </c>
      <c r="K22" s="18">
        <v>383415</v>
      </c>
      <c r="L22" s="18">
        <v>388909</v>
      </c>
      <c r="M22" s="11">
        <v>800</v>
      </c>
      <c r="N22" s="11">
        <f t="shared" si="0"/>
        <v>1.1888111888111887</v>
      </c>
      <c r="O22" s="10">
        <f t="shared" si="1"/>
        <v>462339.37062937062</v>
      </c>
      <c r="P22" s="16">
        <f t="shared" si="2"/>
        <v>0.13401546857304458</v>
      </c>
      <c r="Q22" s="11">
        <f t="shared" si="3"/>
        <v>0.37256300263306391</v>
      </c>
      <c r="R22" s="11">
        <f t="shared" si="4"/>
        <v>22.78262965741758</v>
      </c>
      <c r="S22" s="11">
        <f t="shared" si="5"/>
        <v>1.3401546857304458</v>
      </c>
      <c r="T22" s="11">
        <f t="shared" si="6"/>
        <v>7.6388817086635417</v>
      </c>
      <c r="U22" s="11">
        <f t="shared" si="15"/>
        <v>15.679809823046217</v>
      </c>
      <c r="V22" s="11">
        <f t="shared" si="15"/>
        <v>0.46905414000565604</v>
      </c>
      <c r="W22" s="11">
        <f t="shared" si="15"/>
        <v>48.354523262245934</v>
      </c>
      <c r="X22" s="11">
        <f t="shared" si="15"/>
        <v>0.33504135174198296</v>
      </c>
      <c r="Y22" s="11">
        <f t="shared" si="15"/>
        <v>20.512206596587344</v>
      </c>
      <c r="Z22" s="11">
        <f t="shared" si="15"/>
        <v>1.3715143053765382</v>
      </c>
      <c r="AA22" s="11">
        <f t="shared" si="15"/>
        <v>0.76585819825437795</v>
      </c>
      <c r="AB22" s="11">
        <f t="shared" si="15"/>
        <v>7.8718005930434929</v>
      </c>
      <c r="AC22" s="11">
        <f t="shared" si="15"/>
        <v>9.3810828001131219E-2</v>
      </c>
      <c r="AD22" s="11">
        <f t="shared" si="15"/>
        <v>2.4177261631122966</v>
      </c>
      <c r="AE22" s="11">
        <f t="shared" si="8"/>
        <v>0.11176890078991918</v>
      </c>
      <c r="AF22" s="11">
        <f t="shared" si="9"/>
        <v>6.8347888972252742</v>
      </c>
      <c r="AG22" s="11">
        <f t="shared" si="10"/>
        <v>0.13401546857304458</v>
      </c>
      <c r="AH22" s="11">
        <f t="shared" si="11"/>
        <v>0.95486021358294271</v>
      </c>
      <c r="AI22" s="11">
        <f t="shared" si="12"/>
        <v>6.6639191747946418</v>
      </c>
      <c r="AJ22" s="11">
        <f t="shared" si="13"/>
        <v>0.1407162420016968</v>
      </c>
      <c r="AK22" s="11">
        <f t="shared" si="14"/>
        <v>6.0443154077807417</v>
      </c>
    </row>
    <row r="23" spans="4:37">
      <c r="D23" s="118">
        <v>28</v>
      </c>
      <c r="E23" s="19" t="s">
        <v>192</v>
      </c>
      <c r="F23" s="118">
        <v>76</v>
      </c>
      <c r="G23" s="19" t="s">
        <v>191</v>
      </c>
      <c r="H23" s="118">
        <v>3</v>
      </c>
      <c r="I23" s="19" t="s">
        <v>190</v>
      </c>
      <c r="J23" s="18">
        <v>216</v>
      </c>
      <c r="K23" s="18">
        <v>638601</v>
      </c>
      <c r="L23" s="18">
        <v>648402</v>
      </c>
      <c r="M23" s="11">
        <v>650</v>
      </c>
      <c r="N23" s="11">
        <f t="shared" si="0"/>
        <v>0.96590909090909083</v>
      </c>
      <c r="O23" s="10">
        <f t="shared" si="1"/>
        <v>626297.38636363635</v>
      </c>
      <c r="P23" s="16">
        <f t="shared" si="2"/>
        <v>0.18154096975418579</v>
      </c>
      <c r="Q23" s="11">
        <f t="shared" si="3"/>
        <v>0.50468389591663643</v>
      </c>
      <c r="R23" s="11">
        <f t="shared" si="4"/>
        <v>30.861964858211586</v>
      </c>
      <c r="S23" s="11">
        <f t="shared" si="5"/>
        <v>1.8154096975418579</v>
      </c>
      <c r="T23" s="11">
        <f t="shared" si="6"/>
        <v>10.34783527598859</v>
      </c>
      <c r="U23" s="11">
        <f t="shared" si="15"/>
        <v>21.240293461239737</v>
      </c>
      <c r="V23" s="11">
        <f t="shared" si="15"/>
        <v>0.63539339413965024</v>
      </c>
      <c r="W23" s="11">
        <f t="shared" si="15"/>
        <v>65.502341919917043</v>
      </c>
      <c r="X23" s="11">
        <f t="shared" si="15"/>
        <v>0.45385605520485961</v>
      </c>
      <c r="Y23" s="11">
        <f t="shared" si="15"/>
        <v>27.786388519121047</v>
      </c>
      <c r="Z23" s="11">
        <f t="shared" si="15"/>
        <v>1.8578902844643375</v>
      </c>
      <c r="AA23" s="11">
        <f t="shared" si="15"/>
        <v>1.0374521798542458</v>
      </c>
      <c r="AB23" s="11">
        <f t="shared" si="15"/>
        <v>10.663353481421366</v>
      </c>
      <c r="AC23" s="11">
        <f t="shared" si="15"/>
        <v>0.12707867882793006</v>
      </c>
      <c r="AD23" s="11">
        <f t="shared" si="15"/>
        <v>3.275117095995852</v>
      </c>
      <c r="AE23" s="11">
        <f t="shared" si="8"/>
        <v>0.15140516877499091</v>
      </c>
      <c r="AF23" s="11">
        <f t="shared" si="9"/>
        <v>9.2585894574634757</v>
      </c>
      <c r="AG23" s="11">
        <f t="shared" si="10"/>
        <v>0.18154096975418579</v>
      </c>
      <c r="AH23" s="11">
        <f t="shared" si="11"/>
        <v>1.2934794094985738</v>
      </c>
      <c r="AI23" s="11">
        <f t="shared" si="12"/>
        <v>9.0271247210268886</v>
      </c>
      <c r="AJ23" s="11">
        <f t="shared" si="13"/>
        <v>0.19061801824189506</v>
      </c>
      <c r="AK23" s="11">
        <f t="shared" si="14"/>
        <v>8.1877927399896304</v>
      </c>
    </row>
    <row r="25" spans="4:37">
      <c r="L25" s="13">
        <f>SUM(L7:L23)</f>
        <v>3396314</v>
      </c>
      <c r="M25" s="5">
        <f>AVERAGE(M7:M23)</f>
        <v>672.94117647058829</v>
      </c>
      <c r="N25" s="5" t="s">
        <v>230</v>
      </c>
      <c r="O25" s="6">
        <f>SUM(O7:O23)</f>
        <v>3449895.5646853144</v>
      </c>
      <c r="P25" s="6">
        <f>SUM(P7:P23)</f>
        <v>0.99999999999999989</v>
      </c>
      <c r="Q25" s="5">
        <v>2.78</v>
      </c>
      <c r="R25" s="5">
        <v>170</v>
      </c>
      <c r="S25" s="5">
        <v>10</v>
      </c>
      <c r="T25" s="5">
        <v>57</v>
      </c>
      <c r="U25" s="5">
        <v>117</v>
      </c>
      <c r="V25" s="7">
        <f>H36</f>
        <v>3.5</v>
      </c>
      <c r="W25" s="7">
        <f>H44</f>
        <v>360.81299999999999</v>
      </c>
      <c r="X25" s="7">
        <f>I34</f>
        <v>2.5000200000000001</v>
      </c>
      <c r="Y25" s="7">
        <f>I35</f>
        <v>153.05850000000001</v>
      </c>
      <c r="Z25" s="7">
        <f>I39</f>
        <v>10.234</v>
      </c>
      <c r="AA25" s="7">
        <f>I40</f>
        <v>5.7147000000000006</v>
      </c>
      <c r="AB25" s="7">
        <f>I42</f>
        <v>58.738</v>
      </c>
      <c r="AC25" s="7">
        <f>I36</f>
        <v>0.70000000000000007</v>
      </c>
      <c r="AD25" s="7">
        <f>I44</f>
        <v>18.040649999999999</v>
      </c>
      <c r="AE25" s="5">
        <f t="shared" ref="AE25:AK25" si="16">Q25*AE32</f>
        <v>0.83399999999999996</v>
      </c>
      <c r="AF25" s="5">
        <f t="shared" si="16"/>
        <v>51</v>
      </c>
      <c r="AG25" s="5">
        <f t="shared" si="16"/>
        <v>1</v>
      </c>
      <c r="AH25" s="5">
        <f t="shared" si="16"/>
        <v>7.125</v>
      </c>
      <c r="AI25" s="5">
        <f t="shared" si="16"/>
        <v>49.725000000000001</v>
      </c>
      <c r="AJ25" s="5">
        <f t="shared" si="16"/>
        <v>1.05</v>
      </c>
      <c r="AK25" s="5">
        <f t="shared" si="16"/>
        <v>45.101624999999999</v>
      </c>
    </row>
    <row r="26" spans="4:37">
      <c r="V26" s="7"/>
      <c r="W26" s="7"/>
    </row>
    <row r="27" spans="4:37">
      <c r="Q27" s="5">
        <f t="shared" ref="Q27:AK27" si="17">SUM(Q7:Q23)</f>
        <v>2.7800000000000002</v>
      </c>
      <c r="R27" s="5">
        <f t="shared" si="17"/>
        <v>170.00000000000003</v>
      </c>
      <c r="S27" s="5">
        <f t="shared" si="17"/>
        <v>10</v>
      </c>
      <c r="T27" s="5">
        <f t="shared" si="17"/>
        <v>57</v>
      </c>
      <c r="U27" s="5">
        <f t="shared" si="17"/>
        <v>117</v>
      </c>
      <c r="V27" s="7">
        <f t="shared" si="17"/>
        <v>3.5</v>
      </c>
      <c r="W27" s="7">
        <f t="shared" si="17"/>
        <v>360.81299999999999</v>
      </c>
      <c r="X27" s="7">
        <f t="shared" si="17"/>
        <v>2.5000200000000001</v>
      </c>
      <c r="Y27" s="7">
        <f t="shared" si="17"/>
        <v>153.05850000000004</v>
      </c>
      <c r="Z27" s="7">
        <f t="shared" si="17"/>
        <v>10.234</v>
      </c>
      <c r="AA27" s="7">
        <f t="shared" si="17"/>
        <v>5.7147000000000006</v>
      </c>
      <c r="AB27" s="7">
        <f t="shared" si="17"/>
        <v>58.738000000000007</v>
      </c>
      <c r="AC27" s="7">
        <f t="shared" si="17"/>
        <v>0.70000000000000018</v>
      </c>
      <c r="AD27" s="7">
        <f t="shared" si="17"/>
        <v>18.040649999999999</v>
      </c>
      <c r="AE27" s="7">
        <f t="shared" si="17"/>
        <v>0.83399999999999985</v>
      </c>
      <c r="AF27" s="7">
        <f t="shared" si="17"/>
        <v>51</v>
      </c>
      <c r="AG27" s="7">
        <f t="shared" si="17"/>
        <v>0.99999999999999989</v>
      </c>
      <c r="AH27" s="7">
        <f t="shared" si="17"/>
        <v>7.125</v>
      </c>
      <c r="AI27" s="7">
        <f t="shared" si="17"/>
        <v>49.725000000000009</v>
      </c>
      <c r="AJ27" s="7">
        <f t="shared" si="17"/>
        <v>1.05</v>
      </c>
      <c r="AK27" s="7">
        <f t="shared" si="17"/>
        <v>45.101624999999999</v>
      </c>
    </row>
    <row r="31" spans="4:37" ht="25.5" customHeight="1">
      <c r="E31" s="170" t="s">
        <v>387</v>
      </c>
      <c r="F31" s="171"/>
      <c r="G31" s="171"/>
      <c r="H31" s="171"/>
      <c r="I31" s="172"/>
    </row>
    <row r="32" spans="4:37" s="28" customFormat="1" ht="30">
      <c r="E32" s="50" t="s">
        <v>386</v>
      </c>
      <c r="F32" s="49" t="s">
        <v>385</v>
      </c>
      <c r="G32" s="49" t="s">
        <v>384</v>
      </c>
      <c r="H32" s="49" t="s">
        <v>383</v>
      </c>
      <c r="I32" s="48" t="s">
        <v>382</v>
      </c>
      <c r="J32" s="28" t="s">
        <v>463</v>
      </c>
      <c r="Y32" s="167" t="s">
        <v>462</v>
      </c>
      <c r="Z32" s="167"/>
      <c r="AA32" s="167"/>
      <c r="AB32" s="167"/>
      <c r="AC32" s="167"/>
      <c r="AD32" s="167"/>
      <c r="AE32" s="28">
        <v>0.3</v>
      </c>
      <c r="AF32" s="28">
        <v>0.3</v>
      </c>
      <c r="AG32" s="28">
        <v>0.1</v>
      </c>
      <c r="AH32" s="28">
        <v>0.125</v>
      </c>
      <c r="AI32" s="28">
        <v>0.42499999999999999</v>
      </c>
      <c r="AJ32" s="28">
        <v>0.3</v>
      </c>
      <c r="AK32" s="28">
        <v>0.125</v>
      </c>
    </row>
    <row r="33" spans="5:52">
      <c r="E33" s="25" t="s">
        <v>381</v>
      </c>
      <c r="F33" s="10">
        <v>1434</v>
      </c>
      <c r="G33" s="10">
        <f>F33*0.05</f>
        <v>71.7</v>
      </c>
      <c r="H33" s="10">
        <f>G33*0.86</f>
        <v>61.661999999999999</v>
      </c>
      <c r="I33" s="46">
        <f>J33*H33</f>
        <v>55.495800000000003</v>
      </c>
      <c r="J33" s="71">
        <v>0.9</v>
      </c>
    </row>
    <row r="34" spans="5:52">
      <c r="E34" s="25" t="s">
        <v>380</v>
      </c>
      <c r="F34" s="16">
        <v>143</v>
      </c>
      <c r="G34" s="16">
        <v>3.23</v>
      </c>
      <c r="H34" s="16">
        <f>G34*0.86</f>
        <v>2.7778</v>
      </c>
      <c r="I34" s="47">
        <f>H34*0.9</f>
        <v>2.5000200000000001</v>
      </c>
      <c r="J34" s="71">
        <v>0.9</v>
      </c>
    </row>
    <row r="35" spans="5:52">
      <c r="E35" s="25" t="s">
        <v>379</v>
      </c>
      <c r="F35" s="10">
        <v>3955</v>
      </c>
      <c r="G35" s="10">
        <f>F35*0.05</f>
        <v>197.75</v>
      </c>
      <c r="H35" s="10">
        <f>G35*0.86</f>
        <v>170.065</v>
      </c>
      <c r="I35" s="46">
        <f t="shared" ref="I35:I48" si="18">J35*H35</f>
        <v>153.05850000000001</v>
      </c>
      <c r="J35" s="71">
        <v>0.9</v>
      </c>
    </row>
    <row r="36" spans="5:52">
      <c r="E36" s="25" t="s">
        <v>378</v>
      </c>
      <c r="F36" s="10">
        <v>70</v>
      </c>
      <c r="G36" s="10">
        <v>3.5</v>
      </c>
      <c r="H36" s="10">
        <v>3.5</v>
      </c>
      <c r="I36" s="46">
        <f t="shared" si="18"/>
        <v>0.70000000000000007</v>
      </c>
      <c r="J36" s="71">
        <v>0.2</v>
      </c>
    </row>
    <row r="37" spans="5:52" ht="39" customHeight="1">
      <c r="E37" s="25" t="s">
        <v>377</v>
      </c>
      <c r="F37" s="10">
        <v>5848</v>
      </c>
      <c r="G37" s="10">
        <f t="shared" ref="G37:G48" si="19">F37*0.05</f>
        <v>292.40000000000003</v>
      </c>
      <c r="H37" s="10">
        <f t="shared" ref="H37:H48" si="20">G37*0.86</f>
        <v>251.46400000000003</v>
      </c>
      <c r="I37" s="46">
        <f t="shared" si="18"/>
        <v>2.5146400000000004</v>
      </c>
      <c r="J37" s="71">
        <v>0.01</v>
      </c>
      <c r="AN37" s="143" t="s">
        <v>461</v>
      </c>
      <c r="AO37" s="143"/>
      <c r="AP37" s="143"/>
      <c r="AQ37" s="143"/>
      <c r="AR37" s="143"/>
      <c r="AS37" s="143"/>
      <c r="AT37" s="143"/>
      <c r="AU37" s="143"/>
      <c r="AV37" s="143"/>
      <c r="AW37" s="143"/>
    </row>
    <row r="38" spans="5:52" ht="75">
      <c r="E38" s="25" t="s">
        <v>376</v>
      </c>
      <c r="F38" s="10">
        <v>273</v>
      </c>
      <c r="G38" s="10">
        <f t="shared" si="19"/>
        <v>13.65</v>
      </c>
      <c r="H38" s="10">
        <f t="shared" si="20"/>
        <v>11.739000000000001</v>
      </c>
      <c r="I38" s="46">
        <f t="shared" si="18"/>
        <v>10.565100000000001</v>
      </c>
      <c r="J38" s="71">
        <v>0.9</v>
      </c>
      <c r="AN38" s="53" t="s">
        <v>386</v>
      </c>
      <c r="AO38" s="53" t="s">
        <v>460</v>
      </c>
      <c r="AP38" s="53" t="s">
        <v>459</v>
      </c>
      <c r="AQ38" s="53" t="s">
        <v>458</v>
      </c>
      <c r="AR38" s="53" t="s">
        <v>457</v>
      </c>
      <c r="AS38" s="53" t="s">
        <v>456</v>
      </c>
      <c r="AT38" s="53" t="s">
        <v>455</v>
      </c>
      <c r="AU38" s="53" t="s">
        <v>454</v>
      </c>
      <c r="AV38" s="53" t="s">
        <v>453</v>
      </c>
      <c r="AW38" s="53" t="s">
        <v>452</v>
      </c>
    </row>
    <row r="39" spans="5:52">
      <c r="E39" s="25" t="s">
        <v>375</v>
      </c>
      <c r="F39" s="10">
        <v>238</v>
      </c>
      <c r="G39" s="10">
        <f t="shared" si="19"/>
        <v>11.9</v>
      </c>
      <c r="H39" s="10">
        <f t="shared" si="20"/>
        <v>10.234</v>
      </c>
      <c r="I39" s="46">
        <f t="shared" si="18"/>
        <v>10.234</v>
      </c>
      <c r="J39" s="71">
        <v>1</v>
      </c>
      <c r="AN39" s="52" t="s">
        <v>448</v>
      </c>
      <c r="AO39" s="10">
        <v>61.661999999999999</v>
      </c>
      <c r="AP39" s="10">
        <v>55.495800000000003</v>
      </c>
      <c r="AQ39" s="10">
        <f t="shared" ref="AQ39:AQ54" si="21">(AP39/$AP$55)*100</f>
        <v>14.102222320140555</v>
      </c>
      <c r="AR39" s="68">
        <v>7.5</v>
      </c>
      <c r="AS39" s="68">
        <v>20</v>
      </c>
      <c r="AT39" s="68">
        <f t="shared" ref="AT39:AT54" si="22">$AO39*AY39</f>
        <v>4.6246499999999999</v>
      </c>
      <c r="AU39" s="68">
        <f t="shared" ref="AU39:AU54" si="23">$AO39*AZ39</f>
        <v>12.3324</v>
      </c>
      <c r="AV39" s="68">
        <f t="shared" ref="AV39:AV54" si="24">(AT39/AT$55)*100</f>
        <v>3.5559544677279051</v>
      </c>
      <c r="AW39" s="68">
        <f t="shared" ref="AW39:AW54" si="25">(AU39/AU$55)*100</f>
        <v>3.7580051186075041</v>
      </c>
      <c r="AY39" s="5">
        <f t="shared" ref="AY39:AY54" si="26">AR39*0.01</f>
        <v>7.4999999999999997E-2</v>
      </c>
      <c r="AZ39" s="5">
        <f t="shared" ref="AZ39:AZ54" si="27">AS39*0.01</f>
        <v>0.2</v>
      </c>
    </row>
    <row r="40" spans="5:52">
      <c r="E40" s="25" t="s">
        <v>374</v>
      </c>
      <c r="F40" s="10">
        <v>1329</v>
      </c>
      <c r="G40" s="10">
        <f t="shared" si="19"/>
        <v>66.45</v>
      </c>
      <c r="H40" s="10">
        <f t="shared" si="20"/>
        <v>57.146999999999998</v>
      </c>
      <c r="I40" s="46">
        <f t="shared" si="18"/>
        <v>5.7147000000000006</v>
      </c>
      <c r="J40" s="71">
        <v>0.1</v>
      </c>
      <c r="AN40" s="52" t="s">
        <v>447</v>
      </c>
      <c r="AO40" s="10">
        <v>2.7778</v>
      </c>
      <c r="AP40" s="10">
        <v>2.5000200000000001</v>
      </c>
      <c r="AQ40" s="10">
        <f t="shared" si="21"/>
        <v>0.63528839740661092</v>
      </c>
      <c r="AR40" s="68">
        <v>30</v>
      </c>
      <c r="AS40" s="68">
        <v>65</v>
      </c>
      <c r="AT40" s="68">
        <f>$AO40*AY40</f>
        <v>0.83333999999999997</v>
      </c>
      <c r="AU40" s="68">
        <f t="shared" si="23"/>
        <v>1.8055700000000001</v>
      </c>
      <c r="AV40" s="68">
        <f t="shared" si="24"/>
        <v>0.64076613281791539</v>
      </c>
      <c r="AW40" s="68">
        <f t="shared" si="25"/>
        <v>0.55020444536376956</v>
      </c>
      <c r="AY40" s="5">
        <f t="shared" si="26"/>
        <v>0.3</v>
      </c>
      <c r="AZ40" s="5">
        <f t="shared" si="27"/>
        <v>0.65</v>
      </c>
    </row>
    <row r="41" spans="5:52">
      <c r="E41" s="25" t="s">
        <v>373</v>
      </c>
      <c r="F41" s="10">
        <v>1370</v>
      </c>
      <c r="G41" s="10">
        <f t="shared" si="19"/>
        <v>68.5</v>
      </c>
      <c r="H41" s="10">
        <f t="shared" si="20"/>
        <v>58.91</v>
      </c>
      <c r="I41" s="46">
        <f t="shared" si="18"/>
        <v>11.782</v>
      </c>
      <c r="J41" s="71">
        <v>0.2</v>
      </c>
      <c r="AN41" s="52" t="s">
        <v>446</v>
      </c>
      <c r="AO41" s="10">
        <v>170.065</v>
      </c>
      <c r="AP41" s="10">
        <v>153.05850000000001</v>
      </c>
      <c r="AQ41" s="10">
        <f t="shared" si="21"/>
        <v>38.894204516147774</v>
      </c>
      <c r="AR41" s="68">
        <v>30</v>
      </c>
      <c r="AS41" s="68">
        <v>65</v>
      </c>
      <c r="AT41" s="68">
        <f t="shared" si="22"/>
        <v>51.019500000000001</v>
      </c>
      <c r="AU41" s="68">
        <f t="shared" si="23"/>
        <v>110.54225</v>
      </c>
      <c r="AV41" s="68">
        <f t="shared" si="24"/>
        <v>39.229567419425003</v>
      </c>
      <c r="AW41" s="68">
        <f t="shared" si="25"/>
        <v>33.685117359345327</v>
      </c>
      <c r="AY41" s="5">
        <f t="shared" si="26"/>
        <v>0.3</v>
      </c>
      <c r="AZ41" s="5">
        <f t="shared" si="27"/>
        <v>0.65</v>
      </c>
    </row>
    <row r="42" spans="5:52">
      <c r="E42" s="25" t="s">
        <v>372</v>
      </c>
      <c r="F42" s="10">
        <v>2732</v>
      </c>
      <c r="G42" s="10">
        <f t="shared" si="19"/>
        <v>136.6</v>
      </c>
      <c r="H42" s="10">
        <f t="shared" si="20"/>
        <v>117.476</v>
      </c>
      <c r="I42" s="46">
        <f t="shared" si="18"/>
        <v>58.738</v>
      </c>
      <c r="J42" s="71">
        <v>0.5</v>
      </c>
      <c r="AN42" s="52" t="s">
        <v>378</v>
      </c>
      <c r="AO42" s="10">
        <v>3.5</v>
      </c>
      <c r="AP42" s="10">
        <v>0.70000000000000007</v>
      </c>
      <c r="AQ42" s="10">
        <f t="shared" si="21"/>
        <v>0.17787932823922514</v>
      </c>
      <c r="AR42" s="68">
        <v>12.5</v>
      </c>
      <c r="AS42" s="68">
        <v>30</v>
      </c>
      <c r="AT42" s="68">
        <f t="shared" si="22"/>
        <v>0.4375</v>
      </c>
      <c r="AU42" s="68">
        <f t="shared" si="23"/>
        <v>1.05</v>
      </c>
      <c r="AV42" s="68">
        <f t="shared" si="24"/>
        <v>0.33639952853317728</v>
      </c>
      <c r="AW42" s="68">
        <f t="shared" si="25"/>
        <v>0.31996248698857316</v>
      </c>
      <c r="AY42" s="5">
        <f t="shared" si="26"/>
        <v>0.125</v>
      </c>
      <c r="AZ42" s="5">
        <f t="shared" si="27"/>
        <v>0.3</v>
      </c>
    </row>
    <row r="43" spans="5:52">
      <c r="E43" s="25" t="s">
        <v>371</v>
      </c>
      <c r="F43" s="10">
        <v>3242</v>
      </c>
      <c r="G43" s="10">
        <f t="shared" si="19"/>
        <v>162.10000000000002</v>
      </c>
      <c r="H43" s="10">
        <f t="shared" si="20"/>
        <v>139.40600000000001</v>
      </c>
      <c r="I43" s="46">
        <f t="shared" si="18"/>
        <v>0</v>
      </c>
      <c r="J43" s="71">
        <v>0</v>
      </c>
      <c r="AN43" s="52" t="s">
        <v>377</v>
      </c>
      <c r="AO43" s="10">
        <v>251.46400000000003</v>
      </c>
      <c r="AP43" s="10">
        <v>2.5146400000000004</v>
      </c>
      <c r="AQ43" s="10">
        <f t="shared" si="21"/>
        <v>0.63900353423355027</v>
      </c>
      <c r="AR43" s="68">
        <v>2.5</v>
      </c>
      <c r="AS43" s="68">
        <v>30</v>
      </c>
      <c r="AT43" s="68">
        <f t="shared" si="22"/>
        <v>6.2866000000000009</v>
      </c>
      <c r="AU43" s="68">
        <f t="shared" si="23"/>
        <v>75.4392</v>
      </c>
      <c r="AV43" s="68">
        <f t="shared" si="24"/>
        <v>4.8338497738895381</v>
      </c>
      <c r="AW43" s="68">
        <f t="shared" si="25"/>
        <v>22.988299093741301</v>
      </c>
      <c r="AY43" s="5">
        <f t="shared" si="26"/>
        <v>2.5000000000000001E-2</v>
      </c>
      <c r="AZ43" s="5">
        <f t="shared" si="27"/>
        <v>0.3</v>
      </c>
    </row>
    <row r="44" spans="5:52" ht="30">
      <c r="E44" s="25" t="s">
        <v>370</v>
      </c>
      <c r="F44" s="10">
        <v>8391</v>
      </c>
      <c r="G44" s="10">
        <f t="shared" si="19"/>
        <v>419.55</v>
      </c>
      <c r="H44" s="10">
        <f t="shared" si="20"/>
        <v>360.81299999999999</v>
      </c>
      <c r="I44" s="46">
        <f t="shared" si="18"/>
        <v>18.040649999999999</v>
      </c>
      <c r="J44" s="71">
        <v>0.05</v>
      </c>
      <c r="AN44" s="52" t="s">
        <v>376</v>
      </c>
      <c r="AO44" s="10">
        <v>11.739000000000001</v>
      </c>
      <c r="AP44" s="10">
        <v>10.565100000000001</v>
      </c>
      <c r="AQ44" s="10">
        <f t="shared" si="21"/>
        <v>2.6847327011146249</v>
      </c>
      <c r="AR44" s="68">
        <v>2.5</v>
      </c>
      <c r="AS44" s="68">
        <v>7.5</v>
      </c>
      <c r="AT44" s="68">
        <f t="shared" si="22"/>
        <v>0.29347500000000004</v>
      </c>
      <c r="AU44" s="68">
        <f t="shared" si="23"/>
        <v>0.88042500000000001</v>
      </c>
      <c r="AV44" s="68">
        <f t="shared" si="24"/>
        <v>0.22565680374005537</v>
      </c>
      <c r="AW44" s="68">
        <f t="shared" si="25"/>
        <v>0.26828854533991858</v>
      </c>
      <c r="AY44" s="5">
        <f t="shared" si="26"/>
        <v>2.5000000000000001E-2</v>
      </c>
      <c r="AZ44" s="5">
        <f t="shared" si="27"/>
        <v>7.4999999999999997E-2</v>
      </c>
    </row>
    <row r="45" spans="5:52" ht="30">
      <c r="E45" s="25" t="s">
        <v>369</v>
      </c>
      <c r="F45" s="10">
        <v>1654</v>
      </c>
      <c r="G45" s="10">
        <f t="shared" si="19"/>
        <v>82.7</v>
      </c>
      <c r="H45" s="10">
        <f t="shared" si="20"/>
        <v>71.122</v>
      </c>
      <c r="I45" s="46">
        <f t="shared" si="18"/>
        <v>49.785399999999996</v>
      </c>
      <c r="J45" s="71">
        <v>0.7</v>
      </c>
      <c r="AN45" s="52" t="s">
        <v>445</v>
      </c>
      <c r="AO45" s="10">
        <v>10.234</v>
      </c>
      <c r="AP45" s="10">
        <v>10.234</v>
      </c>
      <c r="AQ45" s="10">
        <f t="shared" si="21"/>
        <v>2.6005957788574712</v>
      </c>
      <c r="AR45" s="68">
        <v>7.5</v>
      </c>
      <c r="AS45" s="68">
        <v>20</v>
      </c>
      <c r="AT45" s="68">
        <f t="shared" si="22"/>
        <v>0.76754999999999995</v>
      </c>
      <c r="AU45" s="68">
        <f t="shared" si="23"/>
        <v>2.0468000000000002</v>
      </c>
      <c r="AV45" s="68">
        <f t="shared" si="24"/>
        <v>0.59017933285860613</v>
      </c>
      <c r="AW45" s="68">
        <f t="shared" si="25"/>
        <v>0.62371354130305867</v>
      </c>
      <c r="AY45" s="5">
        <f t="shared" si="26"/>
        <v>7.4999999999999997E-2</v>
      </c>
      <c r="AZ45" s="5">
        <f t="shared" si="27"/>
        <v>0.2</v>
      </c>
    </row>
    <row r="46" spans="5:52">
      <c r="E46" s="25" t="s">
        <v>368</v>
      </c>
      <c r="F46" s="10">
        <v>837</v>
      </c>
      <c r="G46" s="10">
        <f t="shared" si="19"/>
        <v>41.85</v>
      </c>
      <c r="H46" s="10">
        <f t="shared" si="20"/>
        <v>35.991</v>
      </c>
      <c r="I46" s="46">
        <f t="shared" si="18"/>
        <v>14.3964</v>
      </c>
      <c r="J46" s="71">
        <v>0.4</v>
      </c>
      <c r="AN46" s="52" t="s">
        <v>444</v>
      </c>
      <c r="AO46" s="10">
        <v>57.146999999999998</v>
      </c>
      <c r="AP46" s="10">
        <v>5.7147000000000006</v>
      </c>
      <c r="AQ46" s="10">
        <f t="shared" si="21"/>
        <v>1.4521814244124285</v>
      </c>
      <c r="AR46" s="68">
        <v>7.5</v>
      </c>
      <c r="AS46" s="68">
        <v>12.5</v>
      </c>
      <c r="AT46" s="68">
        <f t="shared" si="22"/>
        <v>4.2860249999999995</v>
      </c>
      <c r="AU46" s="68">
        <f t="shared" si="23"/>
        <v>7.1433749999999998</v>
      </c>
      <c r="AV46" s="68">
        <f t="shared" si="24"/>
        <v>3.295581232643225</v>
      </c>
      <c r="AW46" s="68">
        <f t="shared" si="25"/>
        <v>2.1767733623733321</v>
      </c>
      <c r="AY46" s="5">
        <f t="shared" si="26"/>
        <v>7.4999999999999997E-2</v>
      </c>
      <c r="AZ46" s="5">
        <f t="shared" si="27"/>
        <v>0.125</v>
      </c>
    </row>
    <row r="47" spans="5:52" ht="30">
      <c r="E47" s="25" t="s">
        <v>367</v>
      </c>
      <c r="F47" s="10">
        <v>1453</v>
      </c>
      <c r="G47" s="10">
        <f t="shared" si="19"/>
        <v>72.650000000000006</v>
      </c>
      <c r="H47" s="10">
        <f t="shared" si="20"/>
        <v>62.479000000000006</v>
      </c>
      <c r="I47" s="46">
        <f t="shared" si="18"/>
        <v>0</v>
      </c>
      <c r="J47" s="71">
        <v>0</v>
      </c>
      <c r="AN47" s="52" t="s">
        <v>443</v>
      </c>
      <c r="AO47" s="10">
        <v>58.91</v>
      </c>
      <c r="AP47" s="10">
        <v>11.782</v>
      </c>
      <c r="AQ47" s="10">
        <f t="shared" si="21"/>
        <v>2.9939632075922149</v>
      </c>
      <c r="AR47" s="68">
        <v>7.5</v>
      </c>
      <c r="AS47" s="68">
        <v>20</v>
      </c>
      <c r="AT47" s="68">
        <f t="shared" si="22"/>
        <v>4.4182499999999996</v>
      </c>
      <c r="AU47" s="68">
        <f t="shared" si="23"/>
        <v>11.782</v>
      </c>
      <c r="AV47" s="68">
        <f t="shared" si="24"/>
        <v>3.3972507815810524</v>
      </c>
      <c r="AW47" s="68">
        <f t="shared" si="25"/>
        <v>3.590283830189875</v>
      </c>
      <c r="AY47" s="5">
        <f t="shared" si="26"/>
        <v>7.4999999999999997E-2</v>
      </c>
      <c r="AZ47" s="5">
        <f t="shared" si="27"/>
        <v>0.2</v>
      </c>
    </row>
    <row r="48" spans="5:52" ht="30">
      <c r="E48" s="25" t="s">
        <v>366</v>
      </c>
      <c r="F48" s="10">
        <v>1281</v>
      </c>
      <c r="G48" s="10">
        <f t="shared" si="19"/>
        <v>64.05</v>
      </c>
      <c r="H48" s="10">
        <f t="shared" si="20"/>
        <v>55.082999999999998</v>
      </c>
      <c r="I48" s="46">
        <f t="shared" si="18"/>
        <v>0</v>
      </c>
      <c r="J48" s="71">
        <v>0</v>
      </c>
      <c r="AN48" s="52" t="s">
        <v>372</v>
      </c>
      <c r="AO48" s="10">
        <v>117.476</v>
      </c>
      <c r="AP48" s="10">
        <v>58.738</v>
      </c>
      <c r="AQ48" s="10">
        <f t="shared" si="21"/>
        <v>14.926108545879435</v>
      </c>
      <c r="AR48" s="68">
        <v>7.5</v>
      </c>
      <c r="AS48" s="68">
        <v>12.5</v>
      </c>
      <c r="AT48" s="68">
        <f t="shared" si="22"/>
        <v>8.8106999999999989</v>
      </c>
      <c r="AU48" s="68">
        <f t="shared" si="23"/>
        <v>14.6845</v>
      </c>
      <c r="AV48" s="68">
        <f t="shared" si="24"/>
        <v>6.7746636023937477</v>
      </c>
      <c r="AW48" s="68">
        <f t="shared" si="25"/>
        <v>4.4747515620797165</v>
      </c>
      <c r="AY48" s="5">
        <f t="shared" si="26"/>
        <v>7.4999999999999997E-2</v>
      </c>
      <c r="AZ48" s="5">
        <f t="shared" si="27"/>
        <v>0.125</v>
      </c>
    </row>
    <row r="49" spans="5:61">
      <c r="E49" s="24" t="s">
        <v>365</v>
      </c>
      <c r="F49" s="45">
        <f>SUM(F33:F48)</f>
        <v>34250</v>
      </c>
      <c r="G49" s="45">
        <f>SUM(G33:G48)</f>
        <v>1708.5800000000002</v>
      </c>
      <c r="H49" s="45">
        <f>SUM(H33:H48)</f>
        <v>1469.8688000000002</v>
      </c>
      <c r="I49" s="44">
        <f>SUM(I33:I48)</f>
        <v>393.52521000000002</v>
      </c>
      <c r="J49" s="6"/>
      <c r="AN49" s="52" t="s">
        <v>442</v>
      </c>
      <c r="AO49" s="10">
        <v>139.40600000000001</v>
      </c>
      <c r="AP49" s="10">
        <v>0</v>
      </c>
      <c r="AQ49" s="10">
        <f t="shared" si="21"/>
        <v>0</v>
      </c>
      <c r="AR49" s="68">
        <v>7.5</v>
      </c>
      <c r="AS49" s="68">
        <v>12.5</v>
      </c>
      <c r="AT49" s="68">
        <f t="shared" si="22"/>
        <v>10.455450000000001</v>
      </c>
      <c r="AU49" s="68">
        <f t="shared" si="23"/>
        <v>17.425750000000001</v>
      </c>
      <c r="AV49" s="68">
        <f t="shared" si="24"/>
        <v>8.0393336013764785</v>
      </c>
      <c r="AW49" s="68">
        <f t="shared" si="25"/>
        <v>5.3100821977534558</v>
      </c>
      <c r="AY49" s="5">
        <f t="shared" si="26"/>
        <v>7.4999999999999997E-2</v>
      </c>
      <c r="AZ49" s="5">
        <f t="shared" si="27"/>
        <v>0.125</v>
      </c>
    </row>
    <row r="50" spans="5:61" ht="54.75" customHeight="1">
      <c r="E50" s="24" t="s">
        <v>364</v>
      </c>
      <c r="F50" s="69"/>
      <c r="G50" s="69"/>
      <c r="H50" s="69"/>
      <c r="I50" s="70"/>
      <c r="AN50" s="52" t="s">
        <v>441</v>
      </c>
      <c r="AO50" s="10">
        <v>360.81299999999999</v>
      </c>
      <c r="AP50" s="10">
        <v>18.040649999999999</v>
      </c>
      <c r="AQ50" s="10">
        <f t="shared" si="21"/>
        <v>4.5843695757128238</v>
      </c>
      <c r="AR50" s="68">
        <v>7.5</v>
      </c>
      <c r="AS50" s="68">
        <v>12.5</v>
      </c>
      <c r="AT50" s="68">
        <f t="shared" si="22"/>
        <v>27.060974999999999</v>
      </c>
      <c r="AU50" s="68">
        <f t="shared" si="23"/>
        <v>45.101624999999999</v>
      </c>
      <c r="AV50" s="68">
        <f t="shared" si="24"/>
        <v>20.807541100909933</v>
      </c>
      <c r="AW50" s="68">
        <f t="shared" si="25"/>
        <v>13.743645811643814</v>
      </c>
      <c r="AY50" s="5">
        <f t="shared" si="26"/>
        <v>7.4999999999999997E-2</v>
      </c>
      <c r="AZ50" s="5">
        <f t="shared" si="27"/>
        <v>0.125</v>
      </c>
    </row>
    <row r="51" spans="5:61" ht="30">
      <c r="AN51" s="52" t="s">
        <v>440</v>
      </c>
      <c r="AO51" s="10">
        <v>71.122</v>
      </c>
      <c r="AP51" s="10">
        <v>49.785399999999996</v>
      </c>
      <c r="AQ51" s="10">
        <f t="shared" si="21"/>
        <v>12.65113358303017</v>
      </c>
      <c r="AR51" s="68">
        <v>12.5</v>
      </c>
      <c r="AS51" s="68">
        <v>30</v>
      </c>
      <c r="AT51" s="68">
        <f t="shared" si="22"/>
        <v>8.89025</v>
      </c>
      <c r="AU51" s="68">
        <f t="shared" si="23"/>
        <v>21.336600000000001</v>
      </c>
      <c r="AV51" s="68">
        <f t="shared" si="24"/>
        <v>6.8358306480961817</v>
      </c>
      <c r="AW51" s="68">
        <f t="shared" si="25"/>
        <v>6.5018205713146564</v>
      </c>
      <c r="AY51" s="5">
        <f t="shared" si="26"/>
        <v>0.125</v>
      </c>
      <c r="AZ51" s="5">
        <f t="shared" si="27"/>
        <v>0.3</v>
      </c>
    </row>
    <row r="52" spans="5:61" ht="30">
      <c r="AN52" s="52" t="s">
        <v>439</v>
      </c>
      <c r="AO52" s="10">
        <v>35.991</v>
      </c>
      <c r="AP52" s="10">
        <v>14.3964</v>
      </c>
      <c r="AQ52" s="10">
        <f t="shared" si="21"/>
        <v>3.6583170872331152</v>
      </c>
      <c r="AR52" s="68">
        <v>0.5</v>
      </c>
      <c r="AS52" s="68">
        <v>2.5</v>
      </c>
      <c r="AT52" s="68">
        <f t="shared" si="22"/>
        <v>0.179955</v>
      </c>
      <c r="AU52" s="68">
        <f t="shared" si="23"/>
        <v>0.89977499999999999</v>
      </c>
      <c r="AV52" s="68">
        <f t="shared" si="24"/>
        <v>0.13836977635928668</v>
      </c>
      <c r="AW52" s="68">
        <f t="shared" si="25"/>
        <v>0.27418499688585085</v>
      </c>
      <c r="AY52" s="5">
        <f t="shared" si="26"/>
        <v>5.0000000000000001E-3</v>
      </c>
      <c r="AZ52" s="5">
        <f t="shared" si="27"/>
        <v>2.5000000000000001E-2</v>
      </c>
    </row>
    <row r="53" spans="5:61">
      <c r="AN53" s="52" t="s">
        <v>438</v>
      </c>
      <c r="AO53" s="10">
        <v>62.479000000000006</v>
      </c>
      <c r="AP53" s="10">
        <v>0</v>
      </c>
      <c r="AQ53" s="10">
        <f t="shared" si="21"/>
        <v>0</v>
      </c>
      <c r="AR53" s="68">
        <v>0.5</v>
      </c>
      <c r="AS53" s="68">
        <v>2.5</v>
      </c>
      <c r="AT53" s="68">
        <f t="shared" si="22"/>
        <v>0.31239500000000003</v>
      </c>
      <c r="AU53" s="68">
        <f t="shared" si="23"/>
        <v>1.5619750000000003</v>
      </c>
      <c r="AV53" s="68">
        <f t="shared" si="24"/>
        <v>0.24020464163685015</v>
      </c>
      <c r="AW53" s="68">
        <f t="shared" si="25"/>
        <v>0.47597467201331106</v>
      </c>
      <c r="AY53" s="5">
        <f t="shared" si="26"/>
        <v>5.0000000000000001E-3</v>
      </c>
      <c r="AZ53" s="5">
        <f t="shared" si="27"/>
        <v>2.5000000000000001E-2</v>
      </c>
    </row>
    <row r="54" spans="5:61">
      <c r="AN54" s="52" t="s">
        <v>437</v>
      </c>
      <c r="AO54" s="10">
        <v>55.082999999999998</v>
      </c>
      <c r="AP54" s="10">
        <v>0</v>
      </c>
      <c r="AQ54" s="69">
        <f t="shared" si="21"/>
        <v>0</v>
      </c>
      <c r="AR54" s="67">
        <v>2.5</v>
      </c>
      <c r="AS54" s="67">
        <v>7.5</v>
      </c>
      <c r="AT54" s="68">
        <f t="shared" si="22"/>
        <v>1.377075</v>
      </c>
      <c r="AU54" s="68">
        <f t="shared" si="23"/>
        <v>4.1312249999999997</v>
      </c>
      <c r="AV54" s="67">
        <f t="shared" si="24"/>
        <v>1.0588511560110287</v>
      </c>
      <c r="AW54" s="67">
        <f t="shared" si="25"/>
        <v>1.2588924050565409</v>
      </c>
      <c r="AY54" s="5">
        <f t="shared" si="26"/>
        <v>2.5000000000000001E-2</v>
      </c>
      <c r="AZ54" s="5">
        <f t="shared" si="27"/>
        <v>7.4999999999999997E-2</v>
      </c>
    </row>
    <row r="55" spans="5:61">
      <c r="AN55" s="9" t="s">
        <v>365</v>
      </c>
      <c r="AO55" s="8">
        <v>1469.8688000000002</v>
      </c>
      <c r="AP55" s="66">
        <v>393.52521000000002</v>
      </c>
      <c r="AQ55" s="65"/>
      <c r="AR55" s="64"/>
      <c r="AS55" s="63"/>
      <c r="AT55" s="62">
        <f>SUM(AT39:AT54)</f>
        <v>130.05369000000002</v>
      </c>
      <c r="AU55" s="61">
        <f>SUM(AU39:AU54)</f>
        <v>328.16346999999996</v>
      </c>
      <c r="AV55" s="60"/>
      <c r="AW55" s="59"/>
    </row>
    <row r="56" spans="5:61" ht="27" customHeight="1">
      <c r="AN56" s="144" t="s">
        <v>451</v>
      </c>
      <c r="AO56" s="144"/>
      <c r="AP56" s="144"/>
      <c r="AQ56" s="145"/>
      <c r="AR56" s="145"/>
      <c r="AS56" s="145"/>
      <c r="AT56" s="144"/>
      <c r="AU56" s="144"/>
      <c r="AV56" s="145"/>
      <c r="AW56" s="145"/>
    </row>
    <row r="58" spans="5:61" ht="30.95" customHeight="1">
      <c r="BC58" s="168" t="s">
        <v>450</v>
      </c>
      <c r="BD58" s="169"/>
      <c r="BE58" s="169"/>
      <c r="BF58" s="169"/>
      <c r="BG58" s="169"/>
      <c r="BH58" s="169"/>
      <c r="BI58" s="169"/>
    </row>
    <row r="59" spans="5:61" ht="30">
      <c r="BC59" s="53" t="s">
        <v>386</v>
      </c>
      <c r="BD59" s="53" t="s">
        <v>181</v>
      </c>
      <c r="BE59" s="53" t="s">
        <v>205</v>
      </c>
      <c r="BF59" s="53" t="s">
        <v>200</v>
      </c>
      <c r="BG59" s="53" t="s">
        <v>196</v>
      </c>
      <c r="BH59" s="53" t="s">
        <v>191</v>
      </c>
      <c r="BI59" s="58" t="s">
        <v>230</v>
      </c>
    </row>
    <row r="60" spans="5:61">
      <c r="BC60" s="52" t="s">
        <v>448</v>
      </c>
      <c r="BD60" s="10">
        <f t="shared" ref="BD60:BD75" si="28">$AO39*AP$7</f>
        <v>14.125215455359612</v>
      </c>
      <c r="BE60" s="10">
        <f t="shared" ref="BE60:BE75" si="29">$AO39*AQ$7</f>
        <v>10.084265455997539</v>
      </c>
      <c r="BF60" s="10">
        <f t="shared" ref="BF60:BF75" si="30">$AO39*AR$7</f>
        <v>9.7551051170489398</v>
      </c>
      <c r="BG60" s="10">
        <f t="shared" ref="BG60:BG75" si="31">$AO39*AS$7</f>
        <v>4.4456167649557559</v>
      </c>
      <c r="BH60" s="10">
        <f t="shared" ref="BH60:BH75" si="32">$AO39*AT$7</f>
        <v>23.251797206638155</v>
      </c>
      <c r="BI60" s="10">
        <f t="shared" ref="BI60:BI75" si="33">SUM(BD60:BH60)</f>
        <v>61.662000000000006</v>
      </c>
    </row>
    <row r="61" spans="5:61">
      <c r="BC61" s="52" t="s">
        <v>447</v>
      </c>
      <c r="BD61" s="16">
        <f t="shared" si="28"/>
        <v>0.63632421088997981</v>
      </c>
      <c r="BE61" s="16">
        <f t="shared" si="29"/>
        <v>0.4542842039452169</v>
      </c>
      <c r="BF61" s="16">
        <f t="shared" si="30"/>
        <v>0.43945592089355751</v>
      </c>
      <c r="BG61" s="16">
        <f t="shared" si="31"/>
        <v>0.20026976500428301</v>
      </c>
      <c r="BH61" s="16">
        <f t="shared" si="32"/>
        <v>1.047465899266963</v>
      </c>
      <c r="BI61" s="16">
        <f t="shared" si="33"/>
        <v>2.7778</v>
      </c>
    </row>
    <row r="62" spans="5:61" ht="30">
      <c r="AO62" s="11" t="s">
        <v>181</v>
      </c>
      <c r="BC62" s="52" t="s">
        <v>446</v>
      </c>
      <c r="BD62" s="10">
        <f t="shared" si="28"/>
        <v>38.957620032041326</v>
      </c>
      <c r="BE62" s="10">
        <f t="shared" si="29"/>
        <v>27.812601031011344</v>
      </c>
      <c r="BF62" s="10">
        <f t="shared" si="30"/>
        <v>26.904770389071516</v>
      </c>
      <c r="BG62" s="10">
        <f t="shared" si="31"/>
        <v>12.261097841980485</v>
      </c>
      <c r="BH62" s="10">
        <f t="shared" si="32"/>
        <v>64.128910705895336</v>
      </c>
      <c r="BI62" s="10">
        <f t="shared" si="33"/>
        <v>170.065</v>
      </c>
    </row>
    <row r="63" spans="5:61">
      <c r="AO63" s="11" t="s">
        <v>205</v>
      </c>
      <c r="BC63" s="52" t="s">
        <v>378</v>
      </c>
      <c r="BD63" s="16">
        <f t="shared" si="28"/>
        <v>0.80176209162464152</v>
      </c>
      <c r="BE63" s="16">
        <f t="shared" si="29"/>
        <v>0.57239351782283077</v>
      </c>
      <c r="BF63" s="16">
        <f t="shared" si="30"/>
        <v>0.55371003064563729</v>
      </c>
      <c r="BG63" s="16">
        <f t="shared" si="31"/>
        <v>0.25233788520231498</v>
      </c>
      <c r="BH63" s="16">
        <f t="shared" si="32"/>
        <v>1.3197964747045758</v>
      </c>
      <c r="BI63" s="16">
        <f t="shared" si="33"/>
        <v>3.5000000000000004</v>
      </c>
    </row>
    <row r="64" spans="5:61">
      <c r="AO64" s="11" t="s">
        <v>200</v>
      </c>
      <c r="BC64" s="52" t="s">
        <v>377</v>
      </c>
      <c r="BD64" s="10">
        <f t="shared" si="28"/>
        <v>57.604086459513965</v>
      </c>
      <c r="BE64" s="10">
        <f t="shared" si="29"/>
        <v>41.124675304514376</v>
      </c>
      <c r="BF64" s="10">
        <f t="shared" si="30"/>
        <v>39.782325470364157</v>
      </c>
      <c r="BG64" s="10">
        <f t="shared" si="31"/>
        <v>18.129683989861412</v>
      </c>
      <c r="BH64" s="10">
        <f t="shared" si="32"/>
        <v>94.823228775746131</v>
      </c>
      <c r="BI64" s="10">
        <f t="shared" si="33"/>
        <v>251.46400000000006</v>
      </c>
    </row>
    <row r="65" spans="41:69" ht="30">
      <c r="AO65" s="11" t="s">
        <v>272</v>
      </c>
      <c r="BC65" s="52" t="s">
        <v>376</v>
      </c>
      <c r="BD65" s="16">
        <f t="shared" si="28"/>
        <v>2.6891100553090479</v>
      </c>
      <c r="BE65" s="16">
        <f t="shared" si="29"/>
        <v>1.9198078587777743</v>
      </c>
      <c r="BF65" s="16">
        <f t="shared" si="30"/>
        <v>1.8571434427854676</v>
      </c>
      <c r="BG65" s="16">
        <f t="shared" si="31"/>
        <v>0.84634126696856449</v>
      </c>
      <c r="BH65" s="16">
        <f t="shared" si="32"/>
        <v>4.4265973761591475</v>
      </c>
      <c r="BI65" s="10">
        <f t="shared" si="33"/>
        <v>11.739000000000001</v>
      </c>
    </row>
    <row r="66" spans="41:69" ht="30">
      <c r="AO66" s="11" t="s">
        <v>271</v>
      </c>
      <c r="BC66" s="52" t="s">
        <v>445</v>
      </c>
      <c r="BD66" s="16">
        <f t="shared" si="28"/>
        <v>2.3443523559104515</v>
      </c>
      <c r="BE66" s="16">
        <f t="shared" si="29"/>
        <v>1.673678646113957</v>
      </c>
      <c r="BF66" s="16">
        <f t="shared" si="30"/>
        <v>1.6190481296078434</v>
      </c>
      <c r="BG66" s="16">
        <f t="shared" si="31"/>
        <v>0.73783597633156894</v>
      </c>
      <c r="BH66" s="16">
        <f t="shared" si="32"/>
        <v>3.8590848920361793</v>
      </c>
      <c r="BI66" s="10">
        <f t="shared" si="33"/>
        <v>10.234</v>
      </c>
    </row>
    <row r="67" spans="41:69" ht="30">
      <c r="BC67" s="52" t="s">
        <v>444</v>
      </c>
      <c r="BD67" s="10">
        <f t="shared" si="28"/>
        <v>13.090942357163824</v>
      </c>
      <c r="BE67" s="10">
        <f t="shared" si="29"/>
        <v>9.3458778180060875</v>
      </c>
      <c r="BF67" s="10">
        <f t="shared" si="30"/>
        <v>9.0408191775160667</v>
      </c>
      <c r="BG67" s="10">
        <f t="shared" si="31"/>
        <v>4.1201008930447696</v>
      </c>
      <c r="BH67" s="10">
        <f t="shared" si="32"/>
        <v>21.549259754269254</v>
      </c>
      <c r="BI67" s="10">
        <f t="shared" si="33"/>
        <v>57.147000000000006</v>
      </c>
    </row>
    <row r="68" spans="41:69" ht="30">
      <c r="BC68" s="52" t="s">
        <v>443</v>
      </c>
      <c r="BD68" s="10">
        <f t="shared" si="28"/>
        <v>13.494801376459321</v>
      </c>
      <c r="BE68" s="10">
        <f t="shared" si="29"/>
        <v>9.6342006099837008</v>
      </c>
      <c r="BF68" s="10">
        <f t="shared" si="30"/>
        <v>9.319730830095569</v>
      </c>
      <c r="BG68" s="10">
        <f t="shared" si="31"/>
        <v>4.2472070906481072</v>
      </c>
      <c r="BH68" s="10">
        <f t="shared" si="32"/>
        <v>22.214060092813302</v>
      </c>
      <c r="BI68" s="10">
        <f t="shared" si="33"/>
        <v>58.91</v>
      </c>
    </row>
    <row r="69" spans="41:69" ht="30">
      <c r="BC69" s="52" t="s">
        <v>372</v>
      </c>
      <c r="BD69" s="10">
        <f t="shared" si="28"/>
        <v>26.91080099305611</v>
      </c>
      <c r="BE69" s="10">
        <f t="shared" si="29"/>
        <v>19.212143114215674</v>
      </c>
      <c r="BF69" s="10">
        <f t="shared" si="30"/>
        <v>18.585039874321968</v>
      </c>
      <c r="BG69" s="10">
        <f t="shared" si="31"/>
        <v>8.4696129720077575</v>
      </c>
      <c r="BH69" s="10">
        <f t="shared" si="32"/>
        <v>44.298403046398498</v>
      </c>
      <c r="BI69" s="10">
        <f t="shared" si="33"/>
        <v>117.476</v>
      </c>
    </row>
    <row r="70" spans="41:69">
      <c r="BC70" s="52" t="s">
        <v>442</v>
      </c>
      <c r="BD70" s="10">
        <f t="shared" si="28"/>
        <v>31.934413184292794</v>
      </c>
      <c r="BE70" s="10">
        <f t="shared" si="29"/>
        <v>22.79859735588844</v>
      </c>
      <c r="BF70" s="10">
        <f t="shared" si="30"/>
        <v>22.054428723481632</v>
      </c>
      <c r="BG70" s="10">
        <f t="shared" si="31"/>
        <v>10.050690064146835</v>
      </c>
      <c r="BH70" s="10">
        <f t="shared" si="32"/>
        <v>52.56787067219031</v>
      </c>
      <c r="BI70" s="10">
        <f t="shared" si="33"/>
        <v>139.40600000000001</v>
      </c>
    </row>
    <row r="71" spans="41:69">
      <c r="BC71" s="52" t="s">
        <v>441</v>
      </c>
      <c r="BD71" s="10">
        <f t="shared" si="28"/>
        <v>82.653195875817644</v>
      </c>
      <c r="BE71" s="10">
        <f t="shared" si="29"/>
        <v>59.007720670345435</v>
      </c>
      <c r="BF71" s="10">
        <f t="shared" si="30"/>
        <v>57.08165065352695</v>
      </c>
      <c r="BG71" s="10">
        <f t="shared" si="31"/>
        <v>26.013368392429392</v>
      </c>
      <c r="BH71" s="10">
        <f t="shared" si="32"/>
        <v>136.0570644078806</v>
      </c>
      <c r="BI71" s="10">
        <f t="shared" si="33"/>
        <v>360.81299999999999</v>
      </c>
    </row>
    <row r="72" spans="41:69" ht="45">
      <c r="BC72" s="52" t="s">
        <v>440</v>
      </c>
      <c r="BD72" s="10">
        <f t="shared" si="28"/>
        <v>16.292263851579357</v>
      </c>
      <c r="BE72" s="10">
        <f t="shared" si="29"/>
        <v>11.631363364170104</v>
      </c>
      <c r="BF72" s="10">
        <f t="shared" si="30"/>
        <v>11.251704228451148</v>
      </c>
      <c r="BG72" s="10">
        <f t="shared" si="31"/>
        <v>5.1276500203882982</v>
      </c>
      <c r="BH72" s="10">
        <f t="shared" si="32"/>
        <v>26.819018535411097</v>
      </c>
      <c r="BI72" s="10">
        <f t="shared" si="33"/>
        <v>71.122000000000014</v>
      </c>
    </row>
    <row r="73" spans="41:69" ht="30">
      <c r="BC73" s="52" t="s">
        <v>439</v>
      </c>
      <c r="BD73" s="10">
        <f t="shared" si="28"/>
        <v>8.2446341256178481</v>
      </c>
      <c r="BE73" s="10">
        <f t="shared" si="29"/>
        <v>5.8860043142747145</v>
      </c>
      <c r="BF73" s="10">
        <f t="shared" si="30"/>
        <v>5.6938793465620376</v>
      </c>
      <c r="BG73" s="10">
        <f t="shared" si="31"/>
        <v>2.5948265218047193</v>
      </c>
      <c r="BH73" s="10">
        <f t="shared" si="32"/>
        <v>13.571655691740681</v>
      </c>
      <c r="BI73" s="10">
        <f t="shared" si="33"/>
        <v>35.991</v>
      </c>
    </row>
    <row r="74" spans="41:69">
      <c r="BC74" s="52" t="s">
        <v>438</v>
      </c>
      <c r="BD74" s="10">
        <f t="shared" si="28"/>
        <v>14.312369635033138</v>
      </c>
      <c r="BE74" s="10">
        <f t="shared" si="29"/>
        <v>10.217878457157898</v>
      </c>
      <c r="BF74" s="10">
        <f t="shared" si="30"/>
        <v>9.8843568584882213</v>
      </c>
      <c r="BG74" s="10">
        <f t="shared" si="31"/>
        <v>4.5045196370158394</v>
      </c>
      <c r="BH74" s="10">
        <f t="shared" si="32"/>
        <v>23.559875412304912</v>
      </c>
      <c r="BI74" s="10">
        <f t="shared" si="33"/>
        <v>62.479000000000013</v>
      </c>
    </row>
    <row r="75" spans="41:69">
      <c r="BC75" s="52" t="s">
        <v>437</v>
      </c>
      <c r="BD75" s="10">
        <f t="shared" si="28"/>
        <v>12.618131797988607</v>
      </c>
      <c r="BE75" s="10">
        <f t="shared" si="29"/>
        <v>9.0083291834957091</v>
      </c>
      <c r="BF75" s="10">
        <f t="shared" si="30"/>
        <v>8.7142884623010399</v>
      </c>
      <c r="BG75" s="10">
        <f t="shared" si="31"/>
        <v>3.9712936373140328</v>
      </c>
      <c r="BH75" s="10">
        <f t="shared" si="32"/>
        <v>20.770956918900612</v>
      </c>
      <c r="BI75" s="10">
        <f t="shared" si="33"/>
        <v>55.082999999999998</v>
      </c>
    </row>
    <row r="76" spans="41:69">
      <c r="BC76" s="9" t="s">
        <v>365</v>
      </c>
      <c r="BD76" s="10">
        <f t="shared" ref="BD76:BI76" si="34">SUM(BD60:BD75)</f>
        <v>336.71002385765763</v>
      </c>
      <c r="BE76" s="10">
        <f t="shared" si="34"/>
        <v>240.3838209057208</v>
      </c>
      <c r="BF76" s="10">
        <f t="shared" si="34"/>
        <v>232.53745665516172</v>
      </c>
      <c r="BG76" s="10">
        <f t="shared" si="34"/>
        <v>105.97245271910415</v>
      </c>
      <c r="BH76" s="10">
        <f t="shared" si="34"/>
        <v>554.26504586235581</v>
      </c>
      <c r="BI76" s="10">
        <f t="shared" si="34"/>
        <v>1469.8688000000002</v>
      </c>
    </row>
    <row r="77" spans="41:69" ht="30">
      <c r="BC77" s="52" t="s">
        <v>317</v>
      </c>
      <c r="BD77" s="16">
        <f>(BD76/$BI$76)*100</f>
        <v>22.907488332132608</v>
      </c>
      <c r="BE77" s="16">
        <f>(BE76/$BI$76)*100</f>
        <v>16.354100509223731</v>
      </c>
      <c r="BF77" s="16">
        <f>(BF76/$BI$76)*100</f>
        <v>15.820286589875348</v>
      </c>
      <c r="BG77" s="16">
        <f>(BG76/$BI$76)*100</f>
        <v>7.2096538629232851</v>
      </c>
      <c r="BH77" s="16">
        <f>(BH76/$BI$76)*100</f>
        <v>37.708470705845023</v>
      </c>
      <c r="BI77" s="57"/>
    </row>
    <row r="78" spans="41:69">
      <c r="BC78" s="146" t="s">
        <v>406</v>
      </c>
      <c r="BD78" s="146"/>
      <c r="BE78" s="146"/>
      <c r="BF78" s="146"/>
      <c r="BG78" s="146"/>
      <c r="BH78" s="146"/>
      <c r="BI78" s="146"/>
    </row>
    <row r="80" spans="41:69" ht="35.65" customHeight="1">
      <c r="BK80" s="143" t="s">
        <v>449</v>
      </c>
      <c r="BL80" s="143"/>
      <c r="BM80" s="143"/>
      <c r="BN80" s="143"/>
      <c r="BO80" s="143"/>
      <c r="BP80" s="143"/>
      <c r="BQ80" s="143"/>
    </row>
    <row r="81" spans="63:69" ht="30">
      <c r="BK81" s="53" t="s">
        <v>386</v>
      </c>
      <c r="BL81" s="53" t="s">
        <v>181</v>
      </c>
      <c r="BM81" s="53" t="s">
        <v>205</v>
      </c>
      <c r="BN81" s="53" t="s">
        <v>200</v>
      </c>
      <c r="BO81" s="53" t="s">
        <v>196</v>
      </c>
      <c r="BP81" s="53" t="s">
        <v>191</v>
      </c>
      <c r="BQ81" s="53" t="s">
        <v>230</v>
      </c>
    </row>
    <row r="82" spans="63:69">
      <c r="BK82" s="52" t="s">
        <v>448</v>
      </c>
      <c r="BL82" s="10">
        <f t="shared" ref="BL82:BL97" si="35">($AT39*AP$7)*1000</f>
        <v>1059.3911591519709</v>
      </c>
      <c r="BM82" s="10">
        <f t="shared" ref="BM82:BM97" si="36">($AT39*AQ$7)*1000</f>
        <v>756.31990919981536</v>
      </c>
      <c r="BN82" s="10">
        <f t="shared" ref="BN82:BN97" si="37">($AT39*AR$7)*1000</f>
        <v>731.63288377867036</v>
      </c>
      <c r="BO82" s="10">
        <f t="shared" ref="BO82:BO97" si="38">($AT39*AS$7)*1000</f>
        <v>333.42125737168169</v>
      </c>
      <c r="BP82" s="10">
        <f t="shared" ref="BP82:BP97" si="39">($AT39*AT$7)*1000</f>
        <v>1743.8847904978618</v>
      </c>
      <c r="BQ82" s="10">
        <f t="shared" ref="BQ82:BQ97" si="40">SUM(BL82:BP82)</f>
        <v>4624.6500000000005</v>
      </c>
    </row>
    <row r="83" spans="63:69">
      <c r="BK83" s="52" t="s">
        <v>447</v>
      </c>
      <c r="BL83" s="10">
        <f t="shared" si="35"/>
        <v>190.89726326699392</v>
      </c>
      <c r="BM83" s="10">
        <f t="shared" si="36"/>
        <v>136.28526118356507</v>
      </c>
      <c r="BN83" s="10">
        <f t="shared" si="37"/>
        <v>131.83677626806724</v>
      </c>
      <c r="BO83" s="10">
        <f t="shared" si="38"/>
        <v>60.080929501284899</v>
      </c>
      <c r="BP83" s="10">
        <f t="shared" si="39"/>
        <v>314.23976978008886</v>
      </c>
      <c r="BQ83" s="10">
        <f t="shared" si="40"/>
        <v>833.33999999999992</v>
      </c>
    </row>
    <row r="84" spans="63:69" ht="30">
      <c r="BK84" s="52" t="s">
        <v>446</v>
      </c>
      <c r="BL84" s="10">
        <f t="shared" si="35"/>
        <v>11687.286009612399</v>
      </c>
      <c r="BM84" s="10">
        <f t="shared" si="36"/>
        <v>8343.7803093034036</v>
      </c>
      <c r="BN84" s="10">
        <f t="shared" si="37"/>
        <v>8071.4311167214546</v>
      </c>
      <c r="BO84" s="10">
        <f t="shared" si="38"/>
        <v>3678.3293525941453</v>
      </c>
      <c r="BP84" s="10">
        <f t="shared" si="39"/>
        <v>19238.673211768601</v>
      </c>
      <c r="BQ84" s="10">
        <f t="shared" si="40"/>
        <v>51019.5</v>
      </c>
    </row>
    <row r="85" spans="63:69">
      <c r="BK85" s="52" t="s">
        <v>378</v>
      </c>
      <c r="BL85" s="10">
        <f t="shared" si="35"/>
        <v>100.22026145308018</v>
      </c>
      <c r="BM85" s="10">
        <f t="shared" si="36"/>
        <v>71.549189727853843</v>
      </c>
      <c r="BN85" s="10">
        <f t="shared" si="37"/>
        <v>69.213753830704661</v>
      </c>
      <c r="BO85" s="10">
        <f t="shared" si="38"/>
        <v>31.542235650289374</v>
      </c>
      <c r="BP85" s="10">
        <f t="shared" si="39"/>
        <v>164.97455933807197</v>
      </c>
      <c r="BQ85" s="10">
        <f t="shared" si="40"/>
        <v>437.50000000000006</v>
      </c>
    </row>
    <row r="86" spans="63:69">
      <c r="BK86" s="52" t="s">
        <v>377</v>
      </c>
      <c r="BL86" s="10">
        <f t="shared" si="35"/>
        <v>1440.1021614878491</v>
      </c>
      <c r="BM86" s="10">
        <f t="shared" si="36"/>
        <v>1028.1168826128594</v>
      </c>
      <c r="BN86" s="10">
        <f t="shared" si="37"/>
        <v>994.55813675910395</v>
      </c>
      <c r="BO86" s="10">
        <f t="shared" si="38"/>
        <v>453.2420997465353</v>
      </c>
      <c r="BP86" s="10">
        <f t="shared" si="39"/>
        <v>2370.5807193936535</v>
      </c>
      <c r="BQ86" s="10">
        <f t="shared" si="40"/>
        <v>6286.6000000000013</v>
      </c>
    </row>
    <row r="87" spans="63:69" ht="30">
      <c r="BK87" s="52" t="s">
        <v>376</v>
      </c>
      <c r="BL87" s="10">
        <f t="shared" si="35"/>
        <v>67.227751382726197</v>
      </c>
      <c r="BM87" s="10">
        <f t="shared" si="36"/>
        <v>47.995196469444359</v>
      </c>
      <c r="BN87" s="10">
        <f t="shared" si="37"/>
        <v>46.428586069636694</v>
      </c>
      <c r="BO87" s="10">
        <f t="shared" si="38"/>
        <v>21.158531674214114</v>
      </c>
      <c r="BP87" s="10">
        <f t="shared" si="39"/>
        <v>110.66493440397869</v>
      </c>
      <c r="BQ87" s="10">
        <f t="shared" si="40"/>
        <v>293.47500000000002</v>
      </c>
    </row>
    <row r="88" spans="63:69" ht="30">
      <c r="BK88" s="52" t="s">
        <v>445</v>
      </c>
      <c r="BL88" s="10">
        <f t="shared" si="35"/>
        <v>175.82642669328385</v>
      </c>
      <c r="BM88" s="10">
        <f t="shared" si="36"/>
        <v>125.52589845854678</v>
      </c>
      <c r="BN88" s="10">
        <f t="shared" si="37"/>
        <v>121.42860972058826</v>
      </c>
      <c r="BO88" s="10">
        <f t="shared" si="38"/>
        <v>55.337698224867673</v>
      </c>
      <c r="BP88" s="10">
        <f t="shared" si="39"/>
        <v>289.43136690271342</v>
      </c>
      <c r="BQ88" s="10">
        <f t="shared" si="40"/>
        <v>767.55</v>
      </c>
    </row>
    <row r="89" spans="63:69" ht="30">
      <c r="BK89" s="52" t="s">
        <v>444</v>
      </c>
      <c r="BL89" s="10">
        <f t="shared" si="35"/>
        <v>981.82067678728674</v>
      </c>
      <c r="BM89" s="10">
        <f t="shared" si="36"/>
        <v>700.94083635045649</v>
      </c>
      <c r="BN89" s="10">
        <f t="shared" si="37"/>
        <v>678.06143831370491</v>
      </c>
      <c r="BO89" s="10">
        <f t="shared" si="38"/>
        <v>309.00756697835766</v>
      </c>
      <c r="BP89" s="10">
        <f t="shared" si="39"/>
        <v>1616.1944815701938</v>
      </c>
      <c r="BQ89" s="10">
        <f t="shared" si="40"/>
        <v>4286.0249999999996</v>
      </c>
    </row>
    <row r="90" spans="63:69" ht="30">
      <c r="BK90" s="52" t="s">
        <v>443</v>
      </c>
      <c r="BL90" s="10">
        <f t="shared" si="35"/>
        <v>1012.1101032344491</v>
      </c>
      <c r="BM90" s="10">
        <f t="shared" si="36"/>
        <v>722.56504574877761</v>
      </c>
      <c r="BN90" s="10">
        <f t="shared" si="37"/>
        <v>698.97981225716762</v>
      </c>
      <c r="BO90" s="10">
        <f t="shared" si="38"/>
        <v>318.54053179860796</v>
      </c>
      <c r="BP90" s="10">
        <f t="shared" si="39"/>
        <v>1666.0545069609975</v>
      </c>
      <c r="BQ90" s="10">
        <f t="shared" si="40"/>
        <v>4418.25</v>
      </c>
    </row>
    <row r="91" spans="63:69" ht="30">
      <c r="BK91" s="52" t="s">
        <v>372</v>
      </c>
      <c r="BL91" s="10">
        <f t="shared" si="35"/>
        <v>2018.3100744792077</v>
      </c>
      <c r="BM91" s="10">
        <f t="shared" si="36"/>
        <v>1440.9107335661754</v>
      </c>
      <c r="BN91" s="10">
        <f t="shared" si="37"/>
        <v>1393.8779905741474</v>
      </c>
      <c r="BO91" s="10">
        <f t="shared" si="38"/>
        <v>635.22097290058173</v>
      </c>
      <c r="BP91" s="10">
        <f t="shared" si="39"/>
        <v>3322.3802284798867</v>
      </c>
      <c r="BQ91" s="10">
        <f t="shared" si="40"/>
        <v>8810.6999999999989</v>
      </c>
    </row>
    <row r="92" spans="63:69">
      <c r="BK92" s="52" t="s">
        <v>442</v>
      </c>
      <c r="BL92" s="10">
        <f t="shared" si="35"/>
        <v>2395.0809888219596</v>
      </c>
      <c r="BM92" s="10">
        <f t="shared" si="36"/>
        <v>1709.8948016916331</v>
      </c>
      <c r="BN92" s="10">
        <f t="shared" si="37"/>
        <v>1654.0821542611227</v>
      </c>
      <c r="BO92" s="10">
        <f t="shared" si="38"/>
        <v>753.80175481101264</v>
      </c>
      <c r="BP92" s="10">
        <f t="shared" si="39"/>
        <v>3942.5903004142733</v>
      </c>
      <c r="BQ92" s="10">
        <f t="shared" si="40"/>
        <v>10455.450000000003</v>
      </c>
    </row>
    <row r="93" spans="63:69">
      <c r="BK93" s="52" t="s">
        <v>441</v>
      </c>
      <c r="BL93" s="10">
        <f t="shared" si="35"/>
        <v>6198.9896906863232</v>
      </c>
      <c r="BM93" s="10">
        <f t="shared" si="36"/>
        <v>4425.5790502759082</v>
      </c>
      <c r="BN93" s="10">
        <f t="shared" si="37"/>
        <v>4281.123799014521</v>
      </c>
      <c r="BO93" s="10">
        <f t="shared" si="38"/>
        <v>1951.0026294322042</v>
      </c>
      <c r="BP93" s="10">
        <f t="shared" si="39"/>
        <v>10204.279830591044</v>
      </c>
      <c r="BQ93" s="10">
        <f t="shared" si="40"/>
        <v>27060.975000000002</v>
      </c>
    </row>
    <row r="94" spans="63:69" ht="45">
      <c r="BK94" s="52" t="s">
        <v>440</v>
      </c>
      <c r="BL94" s="10">
        <f t="shared" si="35"/>
        <v>2036.5329814474196</v>
      </c>
      <c r="BM94" s="10">
        <f t="shared" si="36"/>
        <v>1453.9204205212629</v>
      </c>
      <c r="BN94" s="10">
        <f t="shared" si="37"/>
        <v>1406.4630285563935</v>
      </c>
      <c r="BO94" s="10">
        <f t="shared" si="38"/>
        <v>640.95625254853724</v>
      </c>
      <c r="BP94" s="10">
        <f t="shared" si="39"/>
        <v>3352.3773169263873</v>
      </c>
      <c r="BQ94" s="10">
        <f t="shared" si="40"/>
        <v>8890.25</v>
      </c>
    </row>
    <row r="95" spans="63:69" ht="30">
      <c r="BK95" s="52" t="s">
        <v>439</v>
      </c>
      <c r="BL95" s="10">
        <f t="shared" si="35"/>
        <v>41.223170628089242</v>
      </c>
      <c r="BM95" s="10">
        <f t="shared" si="36"/>
        <v>29.430021571373569</v>
      </c>
      <c r="BN95" s="10">
        <f t="shared" si="37"/>
        <v>28.469396732810189</v>
      </c>
      <c r="BO95" s="10">
        <f t="shared" si="38"/>
        <v>12.974132609023599</v>
      </c>
      <c r="BP95" s="10">
        <f t="shared" si="39"/>
        <v>67.85827845870341</v>
      </c>
      <c r="BQ95" s="10">
        <f t="shared" si="40"/>
        <v>179.95500000000001</v>
      </c>
    </row>
    <row r="96" spans="63:69">
      <c r="BK96" s="52" t="s">
        <v>438</v>
      </c>
      <c r="BL96" s="10">
        <f t="shared" si="35"/>
        <v>71.561848175165679</v>
      </c>
      <c r="BM96" s="10">
        <f t="shared" si="36"/>
        <v>51.089392285789494</v>
      </c>
      <c r="BN96" s="10">
        <f t="shared" si="37"/>
        <v>49.42178429244111</v>
      </c>
      <c r="BO96" s="10">
        <f t="shared" si="38"/>
        <v>22.522598185079197</v>
      </c>
      <c r="BP96" s="10">
        <f t="shared" si="39"/>
        <v>117.79937706152457</v>
      </c>
      <c r="BQ96" s="10">
        <f t="shared" si="40"/>
        <v>312.39500000000004</v>
      </c>
    </row>
    <row r="97" spans="63:69">
      <c r="BK97" s="52" t="s">
        <v>437</v>
      </c>
      <c r="BL97" s="10">
        <f t="shared" si="35"/>
        <v>315.4532949497152</v>
      </c>
      <c r="BM97" s="10">
        <f t="shared" si="36"/>
        <v>225.20822958739276</v>
      </c>
      <c r="BN97" s="10">
        <f t="shared" si="37"/>
        <v>217.857211557526</v>
      </c>
      <c r="BO97" s="10">
        <f t="shared" si="38"/>
        <v>99.282340932850815</v>
      </c>
      <c r="BP97" s="10">
        <f t="shared" si="39"/>
        <v>519.27392297251527</v>
      </c>
      <c r="BQ97" s="10">
        <f t="shared" si="40"/>
        <v>1377.0750000000003</v>
      </c>
    </row>
    <row r="98" spans="63:69">
      <c r="BK98" s="9" t="s">
        <v>365</v>
      </c>
      <c r="BL98" s="10">
        <f t="shared" ref="BL98:BQ98" si="41">SUM(BL82:BL97)</f>
        <v>29792.033862257922</v>
      </c>
      <c r="BM98" s="10">
        <f t="shared" si="41"/>
        <v>21269.11117855426</v>
      </c>
      <c r="BN98" s="10">
        <f t="shared" si="41"/>
        <v>20574.86647870806</v>
      </c>
      <c r="BO98" s="10">
        <f t="shared" si="41"/>
        <v>9376.4208849592742</v>
      </c>
      <c r="BP98" s="10">
        <f t="shared" si="41"/>
        <v>49041.257595520488</v>
      </c>
      <c r="BQ98" s="10">
        <f t="shared" si="41"/>
        <v>130053.69</v>
      </c>
    </row>
    <row r="99" spans="63:69" ht="30">
      <c r="BK99" s="52" t="s">
        <v>317</v>
      </c>
      <c r="BL99" s="16">
        <f>(BL98/$BQ$98)*100</f>
        <v>22.907488332132615</v>
      </c>
      <c r="BM99" s="16">
        <f>(BM98/$BQ$98)*100</f>
        <v>16.354100509223738</v>
      </c>
      <c r="BN99" s="16">
        <f>(BN98/$BQ$98)*100</f>
        <v>15.820286589875352</v>
      </c>
      <c r="BO99" s="16">
        <f>(BO98/$BQ$98)*100</f>
        <v>7.2096538629232851</v>
      </c>
      <c r="BP99" s="16">
        <f>(BP98/$BQ$98)*100</f>
        <v>37.708470705845016</v>
      </c>
      <c r="BQ99" s="57"/>
    </row>
    <row r="100" spans="63:69">
      <c r="BK100" s="146" t="s">
        <v>406</v>
      </c>
      <c r="BL100" s="146"/>
      <c r="BM100" s="146"/>
      <c r="BN100" s="146"/>
      <c r="BO100" s="146"/>
      <c r="BP100" s="146"/>
      <c r="BQ100" s="146"/>
    </row>
  </sheetData>
  <mergeCells count="9">
    <mergeCell ref="E31:I31"/>
    <mergeCell ref="AE5:AK5"/>
    <mergeCell ref="AN37:AW37"/>
    <mergeCell ref="AN56:AW56"/>
    <mergeCell ref="Y32:AD32"/>
    <mergeCell ref="BK100:BQ100"/>
    <mergeCell ref="BC58:BI58"/>
    <mergeCell ref="BC78:BI78"/>
    <mergeCell ref="BK80:BQ80"/>
  </mergeCells>
  <pageMargins left="0.7" right="0.7" top="0.75" bottom="0.75" header="0.3" footer="0.3"/>
  <pageSetup paperSize="9" orientation="portrait" verticalDpi="0"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E762B-94D9-4F1F-95B7-4F924FB76C0A}">
  <sheetPr codeName="Feuil3"/>
  <dimension ref="A1:X92"/>
  <sheetViews>
    <sheetView topLeftCell="K64" workbookViewId="0">
      <selection activeCell="O17" sqref="O17"/>
    </sheetView>
  </sheetViews>
  <sheetFormatPr baseColWidth="10" defaultRowHeight="15.75"/>
  <cols>
    <col min="2" max="2" width="15.125" customWidth="1"/>
    <col min="3" max="3" width="13" customWidth="1"/>
    <col min="4" max="4" width="30.5" customWidth="1"/>
    <col min="5" max="5" width="11" customWidth="1"/>
    <col min="6" max="6" width="15" customWidth="1"/>
    <col min="7" max="7" width="23.625" customWidth="1"/>
    <col min="8" max="8" width="21" customWidth="1"/>
    <col min="9" max="9" width="64.25" customWidth="1"/>
    <col min="10" max="10" width="37.875" customWidth="1"/>
    <col min="11" max="11" width="35.5" customWidth="1"/>
    <col min="12" max="12" width="32.25" customWidth="1"/>
    <col min="13" max="13" width="26.5" customWidth="1"/>
  </cols>
  <sheetData>
    <row r="1" spans="1:24">
      <c r="D1" s="85" t="s">
        <v>650</v>
      </c>
    </row>
    <row r="3" spans="1:24">
      <c r="A3" s="135" t="s">
        <v>647</v>
      </c>
      <c r="B3" s="136"/>
      <c r="C3" s="137"/>
      <c r="D3" s="134" t="s">
        <v>153</v>
      </c>
      <c r="E3" s="134"/>
      <c r="F3" s="134" t="s">
        <v>653</v>
      </c>
      <c r="G3" s="134"/>
      <c r="H3" s="134"/>
      <c r="I3" s="134"/>
      <c r="J3" s="134"/>
      <c r="K3" s="134"/>
      <c r="O3" s="135" t="s">
        <v>603</v>
      </c>
      <c r="P3" s="136"/>
      <c r="Q3" s="136"/>
      <c r="R3" s="136"/>
      <c r="S3" s="136"/>
      <c r="T3" s="137"/>
      <c r="V3" s="134" t="s">
        <v>794</v>
      </c>
      <c r="W3" s="134"/>
      <c r="X3" s="134"/>
    </row>
    <row r="4" spans="1:24" ht="45">
      <c r="A4" s="55" t="s">
        <v>152</v>
      </c>
      <c r="B4" s="55" t="s">
        <v>144</v>
      </c>
      <c r="C4" s="55" t="s">
        <v>145</v>
      </c>
      <c r="D4" s="12" t="s">
        <v>0</v>
      </c>
      <c r="E4" s="12" t="s">
        <v>1</v>
      </c>
      <c r="F4" s="12" t="s">
        <v>146</v>
      </c>
      <c r="G4" s="12" t="s">
        <v>611</v>
      </c>
      <c r="H4" s="12" t="s">
        <v>651</v>
      </c>
      <c r="I4" s="12" t="s">
        <v>614</v>
      </c>
      <c r="J4" s="12" t="s">
        <v>616</v>
      </c>
      <c r="K4" s="12" t="s">
        <v>615</v>
      </c>
      <c r="L4" s="55" t="s">
        <v>617</v>
      </c>
      <c r="M4" s="55" t="s">
        <v>632</v>
      </c>
      <c r="O4" s="12" t="s">
        <v>602</v>
      </c>
      <c r="P4" s="12" t="s">
        <v>618</v>
      </c>
      <c r="Q4" s="12" t="s">
        <v>601</v>
      </c>
      <c r="R4" s="12" t="s">
        <v>600</v>
      </c>
      <c r="S4" s="12" t="s">
        <v>599</v>
      </c>
      <c r="T4" s="12" t="s">
        <v>598</v>
      </c>
      <c r="V4" s="81" t="s">
        <v>278</v>
      </c>
      <c r="W4" s="81" t="s">
        <v>301</v>
      </c>
      <c r="X4" s="55" t="s">
        <v>215</v>
      </c>
    </row>
    <row r="5" spans="1:24">
      <c r="A5">
        <v>22</v>
      </c>
      <c r="B5">
        <v>1</v>
      </c>
      <c r="C5">
        <v>14</v>
      </c>
      <c r="D5" t="s">
        <v>44</v>
      </c>
      <c r="E5" t="s">
        <v>45</v>
      </c>
      <c r="F5">
        <v>26438</v>
      </c>
      <c r="G5">
        <v>45</v>
      </c>
      <c r="H5">
        <f t="shared" ref="H5:H36" si="0">(G5*(0.8/733))+(0.2 -17*(0.8/733))</f>
        <v>0.23055934515688953</v>
      </c>
      <c r="I5">
        <f t="shared" ref="I5:I36" si="1">H5*F5</f>
        <v>6095.5279672578454</v>
      </c>
      <c r="J5">
        <f t="shared" ref="J5:J36" si="2">I5/$I$76</f>
        <v>3.657225411787467E-3</v>
      </c>
      <c r="K5">
        <f t="shared" ref="K5:K36" si="3">J5*$K$80</f>
        <v>1.010253661625111</v>
      </c>
      <c r="L5">
        <f t="shared" ref="L5:L36" si="4">K5*3</f>
        <v>3.0307609848753332</v>
      </c>
      <c r="M5">
        <f t="shared" ref="M5:M36" si="5">L5*1000</f>
        <v>3030.7609848753332</v>
      </c>
      <c r="O5" s="11" t="s">
        <v>597</v>
      </c>
      <c r="P5" s="16">
        <v>5.8864912941402711E-2</v>
      </c>
      <c r="Q5" s="10">
        <v>5.8864912941402707</v>
      </c>
      <c r="R5" s="10">
        <v>29.726781035408369</v>
      </c>
      <c r="S5" s="10">
        <v>26.754102931867532</v>
      </c>
      <c r="T5" s="10">
        <v>9.685269039718909</v>
      </c>
      <c r="V5" s="11" t="s">
        <v>181</v>
      </c>
      <c r="W5" s="4">
        <f>SUM(L5:L20)</f>
        <v>201.35695688195841</v>
      </c>
      <c r="X5" s="4">
        <f>W5/$W$10*100</f>
        <v>24.297784722182005</v>
      </c>
    </row>
    <row r="6" spans="1:24">
      <c r="A6">
        <v>36</v>
      </c>
      <c r="B6">
        <v>1</v>
      </c>
      <c r="C6">
        <v>14</v>
      </c>
      <c r="D6" t="s">
        <v>72</v>
      </c>
      <c r="E6" t="s">
        <v>73</v>
      </c>
      <c r="F6">
        <v>17303</v>
      </c>
      <c r="G6">
        <v>88</v>
      </c>
      <c r="H6">
        <f t="shared" si="0"/>
        <v>0.27748976807639836</v>
      </c>
      <c r="I6">
        <f t="shared" si="1"/>
        <v>4801.4054570259204</v>
      </c>
      <c r="J6">
        <f t="shared" si="2"/>
        <v>2.8807713038235365E-3</v>
      </c>
      <c r="K6">
        <f t="shared" si="3"/>
        <v>0.79576986111169468</v>
      </c>
      <c r="L6">
        <f t="shared" si="4"/>
        <v>2.3873095833350839</v>
      </c>
      <c r="M6">
        <f t="shared" si="5"/>
        <v>2387.309583335084</v>
      </c>
      <c r="O6" s="11" t="s">
        <v>596</v>
      </c>
      <c r="P6" s="16">
        <v>8.9922356391375066E-2</v>
      </c>
      <c r="Q6" s="10">
        <v>8.9922356391375065</v>
      </c>
      <c r="R6" s="10">
        <v>45.410789977644406</v>
      </c>
      <c r="S6" s="10">
        <v>40.869710979879969</v>
      </c>
      <c r="T6" s="10">
        <v>14.795268876094617</v>
      </c>
      <c r="V6" s="11" t="s">
        <v>205</v>
      </c>
      <c r="W6" s="4">
        <f>SUM(L21:L33)</f>
        <v>92.751318530706584</v>
      </c>
      <c r="X6" s="4">
        <f>W6/$W$10*100</f>
        <v>11.192320371025465</v>
      </c>
    </row>
    <row r="7" spans="1:24">
      <c r="A7">
        <v>58</v>
      </c>
      <c r="B7">
        <v>1</v>
      </c>
      <c r="C7">
        <v>14</v>
      </c>
      <c r="D7" t="s">
        <v>116</v>
      </c>
      <c r="E7" t="s">
        <v>117</v>
      </c>
      <c r="F7">
        <v>29775</v>
      </c>
      <c r="G7">
        <v>150</v>
      </c>
      <c r="H7">
        <f t="shared" si="0"/>
        <v>0.34515688949522516</v>
      </c>
      <c r="I7">
        <f t="shared" si="1"/>
        <v>10277.04638472033</v>
      </c>
      <c r="J7">
        <f t="shared" si="2"/>
        <v>6.1660737836342072E-3</v>
      </c>
      <c r="K7">
        <f t="shared" si="3"/>
        <v>1.7032853916221953</v>
      </c>
      <c r="L7">
        <f t="shared" si="4"/>
        <v>5.1098561748665858</v>
      </c>
      <c r="M7">
        <f t="shared" si="5"/>
        <v>5109.8561748665861</v>
      </c>
      <c r="O7" s="11" t="s">
        <v>594</v>
      </c>
      <c r="P7" s="16">
        <v>7.0672510636933996E-3</v>
      </c>
      <c r="Q7" s="10">
        <v>0.70672510636933994</v>
      </c>
      <c r="R7" s="10">
        <v>3.5689617871651667</v>
      </c>
      <c r="S7" s="10">
        <v>3.2120656084486501</v>
      </c>
      <c r="T7" s="10">
        <v>1.1628018203517476</v>
      </c>
      <c r="V7" s="11" t="s">
        <v>200</v>
      </c>
      <c r="W7" s="4">
        <f>SUM(L34:L40)</f>
        <v>59.827806772715697</v>
      </c>
      <c r="X7" s="4">
        <f>W7/$W$10*100</f>
        <v>7.2194335466439439</v>
      </c>
    </row>
    <row r="8" spans="1:24">
      <c r="A8">
        <v>12</v>
      </c>
      <c r="B8">
        <v>2</v>
      </c>
      <c r="C8">
        <v>14</v>
      </c>
      <c r="D8" t="s">
        <v>24</v>
      </c>
      <c r="E8" t="s">
        <v>25</v>
      </c>
      <c r="F8">
        <v>18706</v>
      </c>
      <c r="G8">
        <v>113</v>
      </c>
      <c r="H8">
        <f t="shared" si="0"/>
        <v>0.30477489768076405</v>
      </c>
      <c r="I8">
        <f t="shared" si="1"/>
        <v>5701.1192360163723</v>
      </c>
      <c r="J8">
        <f t="shared" si="2"/>
        <v>3.4205860850096636E-3</v>
      </c>
      <c r="K8">
        <f t="shared" si="3"/>
        <v>0.94488559719264442</v>
      </c>
      <c r="L8">
        <f t="shared" si="4"/>
        <v>2.8346567915779333</v>
      </c>
      <c r="M8">
        <f t="shared" si="5"/>
        <v>2834.6567915779333</v>
      </c>
      <c r="O8" s="115" t="s">
        <v>792</v>
      </c>
      <c r="P8" s="16">
        <v>8.4145479603528819E-2</v>
      </c>
      <c r="Q8" s="10">
        <v>8.4145479603528823</v>
      </c>
      <c r="R8" s="10">
        <v>42.493467199782053</v>
      </c>
      <c r="S8" s="10">
        <v>38.244120479803847</v>
      </c>
      <c r="T8" s="10">
        <v>13.844777265662875</v>
      </c>
      <c r="V8" s="11" t="s">
        <v>272</v>
      </c>
      <c r="W8" s="4">
        <f>SUM(L41:L57)</f>
        <v>45.839547555600035</v>
      </c>
      <c r="X8" s="4">
        <f>W8/$W$10*100</f>
        <v>5.5314674770394809</v>
      </c>
    </row>
    <row r="9" spans="1:24">
      <c r="A9">
        <v>13</v>
      </c>
      <c r="B9">
        <v>2</v>
      </c>
      <c r="C9">
        <v>14</v>
      </c>
      <c r="D9" t="s">
        <v>26</v>
      </c>
      <c r="E9" t="s">
        <v>27</v>
      </c>
      <c r="F9">
        <v>272343</v>
      </c>
      <c r="G9">
        <v>750</v>
      </c>
      <c r="H9">
        <f t="shared" si="0"/>
        <v>1.0000000000000002</v>
      </c>
      <c r="I9">
        <f t="shared" si="1"/>
        <v>272343.00000000006</v>
      </c>
      <c r="J9">
        <f t="shared" si="2"/>
        <v>0.16340171773020462</v>
      </c>
      <c r="K9">
        <f t="shared" si="3"/>
        <v>45.137273497203076</v>
      </c>
      <c r="L9">
        <f t="shared" si="4"/>
        <v>135.41182049160923</v>
      </c>
      <c r="M9">
        <f t="shared" si="5"/>
        <v>135411.82049160922</v>
      </c>
      <c r="O9" s="11" t="s">
        <v>591</v>
      </c>
      <c r="P9" s="16">
        <v>0.11</v>
      </c>
      <c r="Q9" s="10">
        <v>11</v>
      </c>
      <c r="R9" s="10">
        <v>55.55</v>
      </c>
      <c r="S9" s="10">
        <v>55.55</v>
      </c>
      <c r="T9" s="10">
        <v>20.109689213893965</v>
      </c>
      <c r="V9" s="11" t="s">
        <v>271</v>
      </c>
      <c r="W9" s="4">
        <f>SUM(L58:L75)</f>
        <v>428.92937025901938</v>
      </c>
      <c r="X9" s="4">
        <f>W9/$W$10*100</f>
        <v>51.758993883109106</v>
      </c>
    </row>
    <row r="10" spans="1:24">
      <c r="A10">
        <v>20</v>
      </c>
      <c r="B10">
        <v>2</v>
      </c>
      <c r="C10">
        <v>14</v>
      </c>
      <c r="D10" t="s">
        <v>40</v>
      </c>
      <c r="E10" t="s">
        <v>41</v>
      </c>
      <c r="F10">
        <v>24668</v>
      </c>
      <c r="G10">
        <v>64</v>
      </c>
      <c r="H10">
        <f t="shared" si="0"/>
        <v>0.25129604365620739</v>
      </c>
      <c r="I10">
        <f t="shared" si="1"/>
        <v>6198.9708049113242</v>
      </c>
      <c r="J10">
        <f t="shared" si="2"/>
        <v>3.7192895638290657E-3</v>
      </c>
      <c r="K10">
        <f t="shared" si="3"/>
        <v>1.027397952664322</v>
      </c>
      <c r="L10">
        <f t="shared" si="4"/>
        <v>3.0821938579929657</v>
      </c>
      <c r="M10">
        <f t="shared" si="5"/>
        <v>3082.1938579929656</v>
      </c>
      <c r="O10" s="11" t="s">
        <v>590</v>
      </c>
      <c r="P10" s="16">
        <v>0.23</v>
      </c>
      <c r="Q10" s="10">
        <v>23</v>
      </c>
      <c r="R10" s="10">
        <v>116.15</v>
      </c>
      <c r="S10" s="10">
        <v>104.53500000000001</v>
      </c>
      <c r="T10" s="10">
        <v>37.842778793418645</v>
      </c>
      <c r="V10" s="9" t="s">
        <v>230</v>
      </c>
      <c r="W10" s="4">
        <f>SUM(W5:W9)</f>
        <v>828.70500000000004</v>
      </c>
      <c r="X10" s="4">
        <f>SUM(X5:X9)</f>
        <v>100</v>
      </c>
    </row>
    <row r="11" spans="1:24">
      <c r="A11">
        <v>21</v>
      </c>
      <c r="B11">
        <v>2</v>
      </c>
      <c r="C11">
        <v>14</v>
      </c>
      <c r="D11" t="s">
        <v>42</v>
      </c>
      <c r="E11" t="s">
        <v>43</v>
      </c>
      <c r="F11">
        <v>25881</v>
      </c>
      <c r="G11">
        <v>199</v>
      </c>
      <c r="H11">
        <f t="shared" si="0"/>
        <v>0.39863574351978176</v>
      </c>
      <c r="I11">
        <f t="shared" si="1"/>
        <v>10317.091678035471</v>
      </c>
      <c r="J11">
        <f t="shared" si="2"/>
        <v>6.1901003593666619E-3</v>
      </c>
      <c r="K11">
        <f t="shared" si="3"/>
        <v>1.70992237276965</v>
      </c>
      <c r="L11">
        <f t="shared" si="4"/>
        <v>5.1297671183089495</v>
      </c>
      <c r="M11">
        <f t="shared" si="5"/>
        <v>5129.7671183089496</v>
      </c>
      <c r="O11" s="11" t="s">
        <v>589</v>
      </c>
      <c r="P11" s="16">
        <v>0.28000000000000003</v>
      </c>
      <c r="Q11" s="10">
        <v>28.000000000000004</v>
      </c>
      <c r="R11" s="10">
        <v>141.4</v>
      </c>
      <c r="S11" s="10">
        <v>0</v>
      </c>
      <c r="T11" s="10">
        <v>0</v>
      </c>
    </row>
    <row r="12" spans="1:24">
      <c r="A12">
        <v>57</v>
      </c>
      <c r="B12">
        <v>2</v>
      </c>
      <c r="C12">
        <v>14</v>
      </c>
      <c r="D12" t="s">
        <v>114</v>
      </c>
      <c r="E12" t="s">
        <v>115</v>
      </c>
      <c r="F12">
        <v>27565</v>
      </c>
      <c r="G12">
        <v>56</v>
      </c>
      <c r="H12">
        <f t="shared" si="0"/>
        <v>0.2425648021828104</v>
      </c>
      <c r="I12">
        <f t="shared" si="1"/>
        <v>6686.2987721691688</v>
      </c>
      <c r="J12">
        <f t="shared" si="2"/>
        <v>4.0116790394091276E-3</v>
      </c>
      <c r="K12">
        <f t="shared" si="3"/>
        <v>1.1081661594511805</v>
      </c>
      <c r="L12">
        <f t="shared" si="4"/>
        <v>3.3244984783535414</v>
      </c>
      <c r="M12">
        <f t="shared" si="5"/>
        <v>3324.4984783535415</v>
      </c>
      <c r="O12" s="11" t="s">
        <v>588</v>
      </c>
      <c r="P12" s="16">
        <v>0.14000000000000001</v>
      </c>
      <c r="Q12" s="10">
        <v>14.000000000000002</v>
      </c>
      <c r="R12" s="10">
        <v>70.7</v>
      </c>
      <c r="S12" s="10">
        <v>7.07</v>
      </c>
      <c r="T12" s="10">
        <v>2.5594149908592323</v>
      </c>
    </row>
    <row r="13" spans="1:24">
      <c r="A13">
        <v>59</v>
      </c>
      <c r="B13">
        <v>2</v>
      </c>
      <c r="C13">
        <v>14</v>
      </c>
      <c r="D13" t="s">
        <v>118</v>
      </c>
      <c r="E13" t="s">
        <v>119</v>
      </c>
      <c r="F13">
        <v>23864</v>
      </c>
      <c r="G13">
        <v>394</v>
      </c>
      <c r="H13">
        <f t="shared" si="0"/>
        <v>0.6114597544338336</v>
      </c>
      <c r="I13">
        <f t="shared" si="1"/>
        <v>14591.875579809004</v>
      </c>
      <c r="J13">
        <f t="shared" si="2"/>
        <v>8.7549066238023967E-3</v>
      </c>
      <c r="K13">
        <f t="shared" si="3"/>
        <v>2.4184116312260553</v>
      </c>
      <c r="L13">
        <f t="shared" si="4"/>
        <v>7.2552348936781659</v>
      </c>
      <c r="M13">
        <f t="shared" si="5"/>
        <v>7255.2348936781655</v>
      </c>
      <c r="O13" s="9" t="s">
        <v>230</v>
      </c>
      <c r="P13" s="9">
        <v>1</v>
      </c>
      <c r="Q13" s="8">
        <v>100</v>
      </c>
      <c r="R13" s="8">
        <v>504.99999999999994</v>
      </c>
      <c r="S13" s="8">
        <v>276.23500000000001</v>
      </c>
      <c r="T13" s="8">
        <v>100</v>
      </c>
    </row>
    <row r="14" spans="1:24">
      <c r="A14">
        <v>11</v>
      </c>
      <c r="B14">
        <v>3</v>
      </c>
      <c r="C14">
        <v>14</v>
      </c>
      <c r="D14" t="s">
        <v>22</v>
      </c>
      <c r="E14" t="s">
        <v>23</v>
      </c>
      <c r="F14">
        <v>31329</v>
      </c>
      <c r="G14">
        <v>113</v>
      </c>
      <c r="H14">
        <f t="shared" si="0"/>
        <v>0.30477489768076405</v>
      </c>
      <c r="I14">
        <f t="shared" si="1"/>
        <v>9548.2927694406571</v>
      </c>
      <c r="J14">
        <f t="shared" si="2"/>
        <v>5.7288325380769672E-3</v>
      </c>
      <c r="K14">
        <f t="shared" si="3"/>
        <v>1.5825040561556911</v>
      </c>
      <c r="L14">
        <f t="shared" si="4"/>
        <v>4.7475121684670736</v>
      </c>
      <c r="M14">
        <f t="shared" si="5"/>
        <v>4747.5121684670739</v>
      </c>
      <c r="O14" s="138" t="s">
        <v>793</v>
      </c>
      <c r="P14" s="139"/>
      <c r="Q14" s="139"/>
      <c r="R14" s="139"/>
      <c r="S14" s="139"/>
      <c r="T14" s="139"/>
    </row>
    <row r="15" spans="1:24">
      <c r="A15">
        <v>23</v>
      </c>
      <c r="B15">
        <v>3</v>
      </c>
      <c r="C15">
        <v>14</v>
      </c>
      <c r="D15" t="s">
        <v>46</v>
      </c>
      <c r="E15" t="s">
        <v>47</v>
      </c>
      <c r="F15">
        <v>27172</v>
      </c>
      <c r="G15">
        <v>140</v>
      </c>
      <c r="H15">
        <f t="shared" si="0"/>
        <v>0.3342428376534789</v>
      </c>
      <c r="I15">
        <f t="shared" si="1"/>
        <v>9082.0463847203282</v>
      </c>
      <c r="J15">
        <f t="shared" si="2"/>
        <v>5.4490916960182418E-3</v>
      </c>
      <c r="K15">
        <f t="shared" si="3"/>
        <v>1.5052298446495991</v>
      </c>
      <c r="L15">
        <f t="shared" si="4"/>
        <v>4.5156895339487972</v>
      </c>
      <c r="M15">
        <f t="shared" si="5"/>
        <v>4515.6895339487974</v>
      </c>
      <c r="X15" s="5"/>
    </row>
    <row r="16" spans="1:24">
      <c r="A16">
        <v>38</v>
      </c>
      <c r="B16">
        <v>3</v>
      </c>
      <c r="C16">
        <v>14</v>
      </c>
      <c r="D16" t="s">
        <v>76</v>
      </c>
      <c r="E16" t="s">
        <v>77</v>
      </c>
      <c r="F16">
        <v>72916</v>
      </c>
      <c r="G16">
        <v>77</v>
      </c>
      <c r="H16">
        <f t="shared" si="0"/>
        <v>0.26548431105047754</v>
      </c>
      <c r="I16">
        <f t="shared" si="1"/>
        <v>19358.054024556619</v>
      </c>
      <c r="J16">
        <f t="shared" si="2"/>
        <v>1.1614542248292233E-2</v>
      </c>
      <c r="K16">
        <f t="shared" si="3"/>
        <v>3.208343077957005</v>
      </c>
      <c r="L16">
        <f t="shared" si="4"/>
        <v>9.6250292338710146</v>
      </c>
      <c r="M16">
        <f t="shared" si="5"/>
        <v>9625.0292338710151</v>
      </c>
      <c r="X16" s="5"/>
    </row>
    <row r="17" spans="1:24">
      <c r="A17">
        <v>56</v>
      </c>
      <c r="B17">
        <v>3</v>
      </c>
      <c r="C17">
        <v>14</v>
      </c>
      <c r="D17" t="s">
        <v>112</v>
      </c>
      <c r="E17" t="s">
        <v>113</v>
      </c>
      <c r="F17">
        <v>20605</v>
      </c>
      <c r="G17">
        <v>174</v>
      </c>
      <c r="H17">
        <f t="shared" si="0"/>
        <v>0.37135061391541613</v>
      </c>
      <c r="I17">
        <f t="shared" si="1"/>
        <v>7651.6793997271498</v>
      </c>
      <c r="J17">
        <f t="shared" si="2"/>
        <v>4.5908929454263076E-3</v>
      </c>
      <c r="K17">
        <f t="shared" si="3"/>
        <v>1.2681653127798362</v>
      </c>
      <c r="L17">
        <f t="shared" si="4"/>
        <v>3.8044959383395085</v>
      </c>
      <c r="M17">
        <f t="shared" si="5"/>
        <v>3804.4959383395085</v>
      </c>
      <c r="X17" s="5"/>
    </row>
    <row r="18" spans="1:24">
      <c r="A18">
        <v>60</v>
      </c>
      <c r="B18">
        <v>3</v>
      </c>
      <c r="C18">
        <v>14</v>
      </c>
      <c r="D18" t="s">
        <v>120</v>
      </c>
      <c r="E18" t="s">
        <v>121</v>
      </c>
      <c r="F18">
        <v>19404</v>
      </c>
      <c r="G18">
        <v>60</v>
      </c>
      <c r="H18">
        <f t="shared" si="0"/>
        <v>0.2469304229195089</v>
      </c>
      <c r="I18">
        <f t="shared" si="1"/>
        <v>4791.4379263301507</v>
      </c>
      <c r="J18">
        <f t="shared" si="2"/>
        <v>2.8747909348138048E-3</v>
      </c>
      <c r="K18">
        <f t="shared" si="3"/>
        <v>0.79411787387829147</v>
      </c>
      <c r="L18">
        <f t="shared" si="4"/>
        <v>2.3823536216348744</v>
      </c>
      <c r="M18">
        <f t="shared" si="5"/>
        <v>2382.3536216348743</v>
      </c>
    </row>
    <row r="19" spans="1:24">
      <c r="A19">
        <v>32</v>
      </c>
      <c r="B19">
        <v>4</v>
      </c>
      <c r="C19">
        <v>14</v>
      </c>
      <c r="D19" t="s">
        <v>64</v>
      </c>
      <c r="E19" t="s">
        <v>65</v>
      </c>
      <c r="F19">
        <v>46376</v>
      </c>
      <c r="G19">
        <v>59</v>
      </c>
      <c r="H19">
        <f t="shared" si="0"/>
        <v>0.24583901773533429</v>
      </c>
      <c r="I19">
        <f t="shared" si="1"/>
        <v>11401.030286493862</v>
      </c>
      <c r="J19">
        <f t="shared" si="2"/>
        <v>6.8404472768060255E-3</v>
      </c>
      <c r="K19">
        <f t="shared" si="3"/>
        <v>1.8895709535085126</v>
      </c>
      <c r="L19">
        <f t="shared" si="4"/>
        <v>5.6687128605255381</v>
      </c>
      <c r="M19">
        <f t="shared" si="5"/>
        <v>5668.7128605255384</v>
      </c>
    </row>
    <row r="20" spans="1:24">
      <c r="A20">
        <v>37</v>
      </c>
      <c r="B20">
        <v>4</v>
      </c>
      <c r="C20">
        <v>14</v>
      </c>
      <c r="D20" t="s">
        <v>74</v>
      </c>
      <c r="E20" t="s">
        <v>75</v>
      </c>
      <c r="F20">
        <v>24818</v>
      </c>
      <c r="G20">
        <v>60</v>
      </c>
      <c r="H20">
        <f t="shared" si="0"/>
        <v>0.2469304229195089</v>
      </c>
      <c r="I20">
        <f t="shared" si="1"/>
        <v>6128.3192360163721</v>
      </c>
      <c r="J20">
        <f t="shared" si="2"/>
        <v>3.6768996815197386E-3</v>
      </c>
      <c r="K20">
        <f t="shared" si="3"/>
        <v>1.0156883835246051</v>
      </c>
      <c r="L20">
        <f t="shared" si="4"/>
        <v>3.0470651505738156</v>
      </c>
      <c r="M20">
        <f t="shared" si="5"/>
        <v>3047.0651505738156</v>
      </c>
    </row>
    <row r="21" spans="1:24">
      <c r="A21">
        <v>45</v>
      </c>
      <c r="B21">
        <v>1</v>
      </c>
      <c r="C21">
        <v>27</v>
      </c>
      <c r="D21" t="s">
        <v>90</v>
      </c>
      <c r="E21" t="s">
        <v>91</v>
      </c>
      <c r="F21">
        <v>20656</v>
      </c>
      <c r="G21">
        <v>75</v>
      </c>
      <c r="H21">
        <f t="shared" si="0"/>
        <v>0.26330150068212826</v>
      </c>
      <c r="I21">
        <f t="shared" si="1"/>
        <v>5438.755798090041</v>
      </c>
      <c r="J21">
        <f t="shared" si="2"/>
        <v>3.2631719549355864E-3</v>
      </c>
      <c r="K21">
        <f t="shared" si="3"/>
        <v>0.90140230497163176</v>
      </c>
      <c r="L21">
        <f t="shared" si="4"/>
        <v>2.7042069149148951</v>
      </c>
      <c r="M21">
        <f t="shared" si="5"/>
        <v>2704.2069149148952</v>
      </c>
    </row>
    <row r="22" spans="1:24">
      <c r="A22">
        <v>51</v>
      </c>
      <c r="B22">
        <v>1</v>
      </c>
      <c r="C22">
        <v>27</v>
      </c>
      <c r="D22" t="s">
        <v>102</v>
      </c>
      <c r="E22" t="s">
        <v>103</v>
      </c>
      <c r="F22">
        <v>32661</v>
      </c>
      <c r="G22">
        <v>94</v>
      </c>
      <c r="H22">
        <f t="shared" si="0"/>
        <v>0.28403819918144613</v>
      </c>
      <c r="I22">
        <f t="shared" si="1"/>
        <v>9276.9716234652115</v>
      </c>
      <c r="J22">
        <f t="shared" si="2"/>
        <v>5.5660439174444734E-3</v>
      </c>
      <c r="K22">
        <f t="shared" si="3"/>
        <v>1.5375361415352742</v>
      </c>
      <c r="L22">
        <f t="shared" si="4"/>
        <v>4.6126084246058223</v>
      </c>
      <c r="M22">
        <f t="shared" si="5"/>
        <v>4612.6084246058226</v>
      </c>
    </row>
    <row r="23" spans="1:24">
      <c r="A23">
        <v>52</v>
      </c>
      <c r="B23">
        <v>1</v>
      </c>
      <c r="C23">
        <v>27</v>
      </c>
      <c r="D23" t="s">
        <v>104</v>
      </c>
      <c r="E23" t="s">
        <v>105</v>
      </c>
      <c r="F23">
        <v>82615</v>
      </c>
      <c r="G23">
        <v>119</v>
      </c>
      <c r="H23">
        <f t="shared" si="0"/>
        <v>0.31132332878581176</v>
      </c>
      <c r="I23">
        <f t="shared" si="1"/>
        <v>25719.97680763984</v>
      </c>
      <c r="J23">
        <f t="shared" si="2"/>
        <v>1.5431600556465095E-2</v>
      </c>
      <c r="K23">
        <f t="shared" si="3"/>
        <v>4.2627481797151354</v>
      </c>
      <c r="L23">
        <f t="shared" si="4"/>
        <v>12.788244539145406</v>
      </c>
      <c r="M23">
        <f t="shared" si="5"/>
        <v>12788.244539145406</v>
      </c>
    </row>
    <row r="24" spans="1:24">
      <c r="A24">
        <v>55</v>
      </c>
      <c r="B24">
        <v>1</v>
      </c>
      <c r="C24">
        <v>27</v>
      </c>
      <c r="D24" t="s">
        <v>110</v>
      </c>
      <c r="E24" t="s">
        <v>111</v>
      </c>
      <c r="F24">
        <v>103175</v>
      </c>
      <c r="G24">
        <v>201</v>
      </c>
      <c r="H24">
        <f t="shared" si="0"/>
        <v>0.40081855388813104</v>
      </c>
      <c r="I24">
        <f t="shared" si="1"/>
        <v>41354.454297407923</v>
      </c>
      <c r="J24">
        <f t="shared" si="2"/>
        <v>2.4812052698221343E-2</v>
      </c>
      <c r="K24">
        <f t="shared" si="3"/>
        <v>6.853957377093173</v>
      </c>
      <c r="L24">
        <f t="shared" si="4"/>
        <v>20.561872131279518</v>
      </c>
      <c r="M24">
        <f t="shared" si="5"/>
        <v>20561.872131279517</v>
      </c>
      <c r="X24" s="5"/>
    </row>
    <row r="25" spans="1:24">
      <c r="A25">
        <v>14</v>
      </c>
      <c r="B25">
        <v>2</v>
      </c>
      <c r="C25">
        <v>27</v>
      </c>
      <c r="D25" t="s">
        <v>28</v>
      </c>
      <c r="E25" t="s">
        <v>29</v>
      </c>
      <c r="F25">
        <v>32651</v>
      </c>
      <c r="G25">
        <v>100</v>
      </c>
      <c r="H25">
        <f t="shared" si="0"/>
        <v>0.2905866302864939</v>
      </c>
      <c r="I25">
        <f t="shared" si="1"/>
        <v>9487.9440654843129</v>
      </c>
      <c r="J25">
        <f t="shared" si="2"/>
        <v>5.6926242202966016E-3</v>
      </c>
      <c r="K25">
        <f t="shared" si="3"/>
        <v>1.5725020514936319</v>
      </c>
      <c r="L25">
        <f t="shared" si="4"/>
        <v>4.7175061544808958</v>
      </c>
      <c r="M25">
        <f t="shared" si="5"/>
        <v>4717.5061544808959</v>
      </c>
      <c r="X25" s="5"/>
    </row>
    <row r="26" spans="1:24">
      <c r="A26">
        <v>15</v>
      </c>
      <c r="B26">
        <v>2</v>
      </c>
      <c r="C26">
        <v>27</v>
      </c>
      <c r="D26" t="s">
        <v>30</v>
      </c>
      <c r="E26" t="s">
        <v>31</v>
      </c>
      <c r="F26">
        <v>20456</v>
      </c>
      <c r="G26">
        <v>50</v>
      </c>
      <c r="H26">
        <f t="shared" si="0"/>
        <v>0.23601637107776263</v>
      </c>
      <c r="I26">
        <f t="shared" si="1"/>
        <v>4827.9508867667128</v>
      </c>
      <c r="J26">
        <f t="shared" si="2"/>
        <v>2.8966981637668135E-3</v>
      </c>
      <c r="K26">
        <f t="shared" si="3"/>
        <v>0.80016941726812574</v>
      </c>
      <c r="L26">
        <f t="shared" si="4"/>
        <v>2.4005082518043772</v>
      </c>
      <c r="M26">
        <f t="shared" si="5"/>
        <v>2400.5082518043773</v>
      </c>
      <c r="X26" s="5"/>
    </row>
    <row r="27" spans="1:24">
      <c r="A27">
        <v>17</v>
      </c>
      <c r="B27">
        <v>2</v>
      </c>
      <c r="C27">
        <v>27</v>
      </c>
      <c r="D27" t="s">
        <v>34</v>
      </c>
      <c r="E27" t="s">
        <v>35</v>
      </c>
      <c r="F27">
        <v>41424</v>
      </c>
      <c r="G27">
        <v>122</v>
      </c>
      <c r="H27">
        <f t="shared" si="0"/>
        <v>0.31459754433833564</v>
      </c>
      <c r="I27">
        <f t="shared" si="1"/>
        <v>13031.888676671215</v>
      </c>
      <c r="J27">
        <f t="shared" si="2"/>
        <v>7.8189378652540331E-3</v>
      </c>
      <c r="K27">
        <f t="shared" si="3"/>
        <v>2.1598643012084477</v>
      </c>
      <c r="L27">
        <f t="shared" si="4"/>
        <v>6.4795929036253437</v>
      </c>
      <c r="M27">
        <f t="shared" si="5"/>
        <v>6479.5929036253438</v>
      </c>
      <c r="X27" s="5"/>
    </row>
    <row r="28" spans="1:24">
      <c r="A28">
        <v>18</v>
      </c>
      <c r="B28">
        <v>2</v>
      </c>
      <c r="C28">
        <v>27</v>
      </c>
      <c r="D28" t="s">
        <v>36</v>
      </c>
      <c r="E28" t="s">
        <v>37</v>
      </c>
      <c r="F28">
        <v>54442</v>
      </c>
      <c r="G28">
        <v>59</v>
      </c>
      <c r="H28">
        <f t="shared" si="0"/>
        <v>0.24583901773533429</v>
      </c>
      <c r="I28">
        <f t="shared" si="1"/>
        <v>13383.96780354707</v>
      </c>
      <c r="J28">
        <f t="shared" si="2"/>
        <v>8.0301800639096445E-3</v>
      </c>
      <c r="K28">
        <f t="shared" si="3"/>
        <v>2.2182167899540808</v>
      </c>
      <c r="L28">
        <f t="shared" si="4"/>
        <v>6.6546503698622423</v>
      </c>
      <c r="M28">
        <f t="shared" si="5"/>
        <v>6654.6503698622428</v>
      </c>
    </row>
    <row r="29" spans="1:24">
      <c r="A29">
        <v>19</v>
      </c>
      <c r="B29">
        <v>2</v>
      </c>
      <c r="C29">
        <v>27</v>
      </c>
      <c r="D29" t="s">
        <v>38</v>
      </c>
      <c r="E29" t="s">
        <v>39</v>
      </c>
      <c r="F29">
        <v>37613</v>
      </c>
      <c r="G29">
        <v>47</v>
      </c>
      <c r="H29">
        <f t="shared" si="0"/>
        <v>0.23274215552523878</v>
      </c>
      <c r="I29">
        <f t="shared" si="1"/>
        <v>8754.1306957708057</v>
      </c>
      <c r="J29">
        <f t="shared" si="2"/>
        <v>5.252347197921961E-3</v>
      </c>
      <c r="K29">
        <f t="shared" si="3"/>
        <v>1.4508821282179729</v>
      </c>
      <c r="L29">
        <f t="shared" si="4"/>
        <v>4.3526463846539185</v>
      </c>
      <c r="M29">
        <f t="shared" si="5"/>
        <v>4352.6463846539182</v>
      </c>
    </row>
    <row r="30" spans="1:24">
      <c r="A30">
        <v>62</v>
      </c>
      <c r="B30">
        <v>2</v>
      </c>
      <c r="C30">
        <v>27</v>
      </c>
      <c r="D30" t="s">
        <v>124</v>
      </c>
      <c r="E30" t="s">
        <v>125</v>
      </c>
      <c r="F30">
        <v>22555</v>
      </c>
      <c r="G30">
        <v>74</v>
      </c>
      <c r="H30">
        <f t="shared" si="0"/>
        <v>0.26221009549795365</v>
      </c>
      <c r="I30">
        <f t="shared" si="1"/>
        <v>5914.1487039563444</v>
      </c>
      <c r="J30">
        <f t="shared" si="2"/>
        <v>3.5484005725806424E-3</v>
      </c>
      <c r="K30">
        <f t="shared" si="3"/>
        <v>0.98019243216681384</v>
      </c>
      <c r="L30">
        <f t="shared" si="4"/>
        <v>2.9405772965004413</v>
      </c>
      <c r="M30">
        <f t="shared" si="5"/>
        <v>2940.5772965004412</v>
      </c>
    </row>
    <row r="31" spans="1:24">
      <c r="A31">
        <v>7</v>
      </c>
      <c r="B31">
        <v>3</v>
      </c>
      <c r="C31">
        <v>27</v>
      </c>
      <c r="D31" t="s">
        <v>14</v>
      </c>
      <c r="E31" t="s">
        <v>15</v>
      </c>
      <c r="F31">
        <v>10846</v>
      </c>
      <c r="G31">
        <v>191</v>
      </c>
      <c r="H31">
        <f t="shared" si="0"/>
        <v>0.38990450204638472</v>
      </c>
      <c r="I31">
        <f t="shared" si="1"/>
        <v>4228.9042291950882</v>
      </c>
      <c r="J31">
        <f t="shared" si="2"/>
        <v>2.5372791485993918E-3</v>
      </c>
      <c r="K31">
        <f t="shared" si="3"/>
        <v>0.70088530561335305</v>
      </c>
      <c r="L31">
        <f t="shared" si="4"/>
        <v>2.1026559168400594</v>
      </c>
      <c r="M31">
        <f t="shared" si="5"/>
        <v>2102.6559168400595</v>
      </c>
    </row>
    <row r="32" spans="1:24">
      <c r="A32">
        <v>47</v>
      </c>
      <c r="B32">
        <v>3</v>
      </c>
      <c r="C32">
        <v>27</v>
      </c>
      <c r="D32" t="s">
        <v>94</v>
      </c>
      <c r="E32" t="s">
        <v>95</v>
      </c>
      <c r="F32">
        <v>110627</v>
      </c>
      <c r="G32">
        <v>168</v>
      </c>
      <c r="H32">
        <f t="shared" si="0"/>
        <v>0.36480218281036836</v>
      </c>
      <c r="I32">
        <f t="shared" si="1"/>
        <v>40356.971077762617</v>
      </c>
      <c r="J32">
        <f t="shared" si="2"/>
        <v>2.4213577718151733E-2</v>
      </c>
      <c r="K32">
        <f t="shared" si="3"/>
        <v>6.6886376409736439</v>
      </c>
      <c r="L32">
        <f t="shared" si="4"/>
        <v>20.06591292292093</v>
      </c>
      <c r="M32">
        <f t="shared" si="5"/>
        <v>20065.912922920928</v>
      </c>
    </row>
    <row r="33" spans="1:24">
      <c r="A33">
        <v>61</v>
      </c>
      <c r="B33">
        <v>3</v>
      </c>
      <c r="C33">
        <v>27</v>
      </c>
      <c r="D33" t="s">
        <v>122</v>
      </c>
      <c r="E33" t="s">
        <v>123</v>
      </c>
      <c r="F33">
        <v>18411</v>
      </c>
      <c r="G33">
        <v>71</v>
      </c>
      <c r="H33">
        <f t="shared" si="0"/>
        <v>0.25893587994542977</v>
      </c>
      <c r="I33">
        <f t="shared" si="1"/>
        <v>4767.2684856753076</v>
      </c>
      <c r="J33">
        <f t="shared" si="2"/>
        <v>2.8602896327073451E-3</v>
      </c>
      <c r="K33">
        <f t="shared" si="3"/>
        <v>0.79011210669091347</v>
      </c>
      <c r="L33">
        <f t="shared" si="4"/>
        <v>2.3703363200727403</v>
      </c>
      <c r="M33">
        <f t="shared" si="5"/>
        <v>2370.3363200727404</v>
      </c>
    </row>
    <row r="34" spans="1:24">
      <c r="A34">
        <v>8</v>
      </c>
      <c r="B34">
        <v>1</v>
      </c>
      <c r="C34">
        <v>50</v>
      </c>
      <c r="D34" t="s">
        <v>16</v>
      </c>
      <c r="E34" t="s">
        <v>17</v>
      </c>
      <c r="F34">
        <v>44569</v>
      </c>
      <c r="G34">
        <v>158</v>
      </c>
      <c r="H34">
        <f t="shared" si="0"/>
        <v>0.35388813096862215</v>
      </c>
      <c r="I34">
        <f t="shared" si="1"/>
        <v>15772.44010914052</v>
      </c>
      <c r="J34">
        <f t="shared" si="2"/>
        <v>9.4632276453969315E-3</v>
      </c>
      <c r="K34">
        <f t="shared" si="3"/>
        <v>2.6140746886262214</v>
      </c>
      <c r="L34">
        <f t="shared" si="4"/>
        <v>7.8422240658786642</v>
      </c>
      <c r="M34">
        <f t="shared" si="5"/>
        <v>7842.2240658786641</v>
      </c>
    </row>
    <row r="35" spans="1:24">
      <c r="A35">
        <v>34</v>
      </c>
      <c r="B35">
        <v>1</v>
      </c>
      <c r="C35">
        <v>50</v>
      </c>
      <c r="D35" t="s">
        <v>68</v>
      </c>
      <c r="E35" t="s">
        <v>69</v>
      </c>
      <c r="F35">
        <v>87571</v>
      </c>
      <c r="G35">
        <v>57</v>
      </c>
      <c r="H35">
        <f t="shared" si="0"/>
        <v>0.24365620736698501</v>
      </c>
      <c r="I35">
        <f t="shared" si="1"/>
        <v>21337.217735334245</v>
      </c>
      <c r="J35">
        <f t="shared" si="2"/>
        <v>1.2802010808197756E-2</v>
      </c>
      <c r="K35">
        <f t="shared" si="3"/>
        <v>3.5363634556025074</v>
      </c>
      <c r="L35">
        <f t="shared" si="4"/>
        <v>10.609090366807521</v>
      </c>
      <c r="M35">
        <f t="shared" si="5"/>
        <v>10609.090366807521</v>
      </c>
    </row>
    <row r="36" spans="1:24">
      <c r="A36">
        <v>9</v>
      </c>
      <c r="B36">
        <v>2</v>
      </c>
      <c r="C36">
        <v>50</v>
      </c>
      <c r="D36" t="s">
        <v>18</v>
      </c>
      <c r="E36" t="s">
        <v>19</v>
      </c>
      <c r="F36">
        <v>23153</v>
      </c>
      <c r="G36">
        <v>52</v>
      </c>
      <c r="H36">
        <f t="shared" si="0"/>
        <v>0.23819918144611191</v>
      </c>
      <c r="I36">
        <f t="shared" si="1"/>
        <v>5515.0256480218286</v>
      </c>
      <c r="J36">
        <f t="shared" si="2"/>
        <v>3.3089327216521132E-3</v>
      </c>
      <c r="K36">
        <f t="shared" si="3"/>
        <v>0.91404303036557155</v>
      </c>
      <c r="L36">
        <f t="shared" si="4"/>
        <v>2.7421290910967144</v>
      </c>
      <c r="M36">
        <f t="shared" si="5"/>
        <v>2742.1290910967145</v>
      </c>
      <c r="X36" s="5"/>
    </row>
    <row r="37" spans="1:24">
      <c r="A37">
        <v>26</v>
      </c>
      <c r="B37">
        <v>2</v>
      </c>
      <c r="C37">
        <v>50</v>
      </c>
      <c r="D37" t="s">
        <v>52</v>
      </c>
      <c r="E37" t="s">
        <v>53</v>
      </c>
      <c r="F37">
        <v>178002</v>
      </c>
      <c r="G37">
        <v>124</v>
      </c>
      <c r="H37">
        <f t="shared" ref="H37:H68" si="6">(G37*(0.8/733))+(0.2 -17*(0.8/733))</f>
        <v>0.31678035470668486</v>
      </c>
      <c r="I37">
        <f t="shared" ref="I37:I68" si="7">H37*F37</f>
        <v>56387.536698499316</v>
      </c>
      <c r="J37">
        <f t="shared" ref="J37:J68" si="8">I37/$I$76</f>
        <v>3.3831676801348805E-2</v>
      </c>
      <c r="K37">
        <f t="shared" ref="K37:K68" si="9">J37*$K$80</f>
        <v>9.3454932412205878</v>
      </c>
      <c r="L37">
        <f t="shared" ref="L37:L68" si="10">K37*3</f>
        <v>28.036479723661763</v>
      </c>
      <c r="M37">
        <f t="shared" ref="M37:M68" si="11">L37*1000</f>
        <v>28036.479723661763</v>
      </c>
    </row>
    <row r="38" spans="1:24">
      <c r="A38">
        <v>24</v>
      </c>
      <c r="B38">
        <v>3</v>
      </c>
      <c r="C38">
        <v>50</v>
      </c>
      <c r="D38" t="s">
        <v>48</v>
      </c>
      <c r="E38" t="s">
        <v>49</v>
      </c>
      <c r="F38">
        <v>47720</v>
      </c>
      <c r="G38">
        <v>74</v>
      </c>
      <c r="H38">
        <f t="shared" si="6"/>
        <v>0.26221009549795365</v>
      </c>
      <c r="I38">
        <f t="shared" si="7"/>
        <v>12512.665757162349</v>
      </c>
      <c r="J38">
        <f t="shared" si="8"/>
        <v>7.507411896410918E-3</v>
      </c>
      <c r="K38">
        <f t="shared" si="9"/>
        <v>2.0738099252050701</v>
      </c>
      <c r="L38">
        <f t="shared" si="10"/>
        <v>6.2214297756152099</v>
      </c>
      <c r="M38">
        <f t="shared" si="11"/>
        <v>6221.42977561521</v>
      </c>
    </row>
    <row r="39" spans="1:24">
      <c r="A39">
        <v>25</v>
      </c>
      <c r="B39">
        <v>3</v>
      </c>
      <c r="C39">
        <v>50</v>
      </c>
      <c r="D39" t="s">
        <v>50</v>
      </c>
      <c r="E39" t="s">
        <v>51</v>
      </c>
      <c r="F39">
        <v>21931</v>
      </c>
      <c r="G39">
        <v>45</v>
      </c>
      <c r="H39">
        <f t="shared" si="6"/>
        <v>0.23055934515688953</v>
      </c>
      <c r="I39">
        <f t="shared" si="7"/>
        <v>5056.3969986357442</v>
      </c>
      <c r="J39">
        <f t="shared" si="8"/>
        <v>3.0337624066083266E-3</v>
      </c>
      <c r="K39">
        <f t="shared" si="9"/>
        <v>0.8380313583894512</v>
      </c>
      <c r="L39">
        <f t="shared" si="10"/>
        <v>2.5140940751683534</v>
      </c>
      <c r="M39">
        <f t="shared" si="11"/>
        <v>2514.0940751683534</v>
      </c>
    </row>
    <row r="40" spans="1:24">
      <c r="A40">
        <v>10</v>
      </c>
      <c r="B40">
        <v>4</v>
      </c>
      <c r="C40">
        <v>50</v>
      </c>
      <c r="D40" t="s">
        <v>20</v>
      </c>
      <c r="E40" t="s">
        <v>21</v>
      </c>
      <c r="F40">
        <v>15653</v>
      </c>
      <c r="G40">
        <v>53</v>
      </c>
      <c r="H40">
        <f t="shared" si="6"/>
        <v>0.23929058663028652</v>
      </c>
      <c r="I40">
        <f t="shared" si="7"/>
        <v>3745.6155525238751</v>
      </c>
      <c r="J40">
        <f t="shared" si="8"/>
        <v>2.2473131868245943E-3</v>
      </c>
      <c r="K40">
        <f t="shared" si="9"/>
        <v>0.62078655816249184</v>
      </c>
      <c r="L40">
        <f t="shared" si="10"/>
        <v>1.8623596744874755</v>
      </c>
      <c r="M40">
        <f t="shared" si="11"/>
        <v>1862.3596744874756</v>
      </c>
      <c r="X40" s="5"/>
    </row>
    <row r="41" spans="1:24">
      <c r="A41">
        <v>16</v>
      </c>
      <c r="B41">
        <v>4</v>
      </c>
      <c r="C41">
        <v>50</v>
      </c>
      <c r="D41" t="s">
        <v>32</v>
      </c>
      <c r="E41" t="s">
        <v>33</v>
      </c>
      <c r="F41">
        <v>76494</v>
      </c>
      <c r="G41">
        <v>93</v>
      </c>
      <c r="H41">
        <f t="shared" si="6"/>
        <v>0.28294679399727152</v>
      </c>
      <c r="I41">
        <f t="shared" si="7"/>
        <v>21643.732060027287</v>
      </c>
      <c r="J41">
        <f t="shared" si="8"/>
        <v>1.2985914808534671E-2</v>
      </c>
      <c r="K41">
        <f t="shared" si="9"/>
        <v>3.5871641771355751</v>
      </c>
      <c r="L41">
        <f t="shared" si="10"/>
        <v>10.761492531406725</v>
      </c>
      <c r="M41">
        <f t="shared" si="11"/>
        <v>10761.492531406726</v>
      </c>
      <c r="X41" s="5"/>
    </row>
    <row r="42" spans="1:24">
      <c r="A42">
        <v>3</v>
      </c>
      <c r="B42">
        <v>1</v>
      </c>
      <c r="C42">
        <v>61</v>
      </c>
      <c r="D42" t="s">
        <v>6</v>
      </c>
      <c r="E42" t="s">
        <v>7</v>
      </c>
      <c r="F42">
        <v>7500</v>
      </c>
      <c r="G42">
        <v>27</v>
      </c>
      <c r="H42">
        <f t="shared" si="6"/>
        <v>0.21091405184174628</v>
      </c>
      <c r="I42">
        <f t="shared" si="7"/>
        <v>1581.8553888130971</v>
      </c>
      <c r="J42">
        <f t="shared" si="8"/>
        <v>9.4908952215713531E-4</v>
      </c>
      <c r="K42">
        <f t="shared" si="9"/>
        <v>0.26217174415307626</v>
      </c>
      <c r="L42">
        <f t="shared" si="10"/>
        <v>0.78651523245922883</v>
      </c>
      <c r="M42">
        <f t="shared" si="11"/>
        <v>786.51523245922886</v>
      </c>
      <c r="X42" s="5"/>
    </row>
    <row r="43" spans="1:24">
      <c r="A43">
        <v>4</v>
      </c>
      <c r="B43">
        <v>1</v>
      </c>
      <c r="C43">
        <v>61</v>
      </c>
      <c r="D43" t="s">
        <v>8</v>
      </c>
      <c r="E43" t="s">
        <v>9</v>
      </c>
      <c r="F43">
        <v>11919</v>
      </c>
      <c r="G43">
        <v>33</v>
      </c>
      <c r="H43">
        <f t="shared" si="6"/>
        <v>0.21746248294679402</v>
      </c>
      <c r="I43">
        <f t="shared" si="7"/>
        <v>2591.9353342428381</v>
      </c>
      <c r="J43">
        <f t="shared" si="8"/>
        <v>1.5551223488795075E-3</v>
      </c>
      <c r="K43">
        <f t="shared" si="9"/>
        <v>0.42957922204273075</v>
      </c>
      <c r="L43">
        <f t="shared" si="10"/>
        <v>1.2887376661281922</v>
      </c>
      <c r="M43">
        <f t="shared" si="11"/>
        <v>1288.7376661281921</v>
      </c>
    </row>
    <row r="44" spans="1:24">
      <c r="A44">
        <v>28</v>
      </c>
      <c r="B44">
        <v>1</v>
      </c>
      <c r="C44">
        <v>61</v>
      </c>
      <c r="D44" t="s">
        <v>56</v>
      </c>
      <c r="E44" t="s">
        <v>57</v>
      </c>
      <c r="F44">
        <v>13049</v>
      </c>
      <c r="G44">
        <v>39</v>
      </c>
      <c r="H44">
        <f t="shared" si="6"/>
        <v>0.22401091405184176</v>
      </c>
      <c r="I44">
        <f t="shared" si="7"/>
        <v>2923.1184174624832</v>
      </c>
      <c r="J44">
        <f t="shared" si="8"/>
        <v>1.7538272345614427E-3</v>
      </c>
      <c r="K44">
        <f t="shared" si="9"/>
        <v>0.48446846613908012</v>
      </c>
      <c r="L44">
        <f t="shared" si="10"/>
        <v>1.4534053984172404</v>
      </c>
      <c r="M44">
        <f t="shared" si="11"/>
        <v>1453.4053984172403</v>
      </c>
    </row>
    <row r="45" spans="1:24">
      <c r="A45">
        <v>50</v>
      </c>
      <c r="B45">
        <v>1</v>
      </c>
      <c r="C45">
        <v>61</v>
      </c>
      <c r="D45" t="s">
        <v>100</v>
      </c>
      <c r="E45" t="s">
        <v>101</v>
      </c>
      <c r="F45">
        <v>4878</v>
      </c>
      <c r="G45">
        <v>21</v>
      </c>
      <c r="H45">
        <f t="shared" si="6"/>
        <v>0.20436562073669851</v>
      </c>
      <c r="I45">
        <f t="shared" si="7"/>
        <v>996.89549795361529</v>
      </c>
      <c r="J45">
        <f t="shared" si="8"/>
        <v>5.9812235586421676E-4</v>
      </c>
      <c r="K45">
        <f t="shared" si="9"/>
        <v>0.16522232897215192</v>
      </c>
      <c r="L45">
        <f t="shared" si="10"/>
        <v>0.49566698691645572</v>
      </c>
      <c r="M45">
        <f t="shared" si="11"/>
        <v>495.6669869164557</v>
      </c>
    </row>
    <row r="46" spans="1:24">
      <c r="A46">
        <v>64</v>
      </c>
      <c r="B46">
        <v>1</v>
      </c>
      <c r="C46">
        <v>61</v>
      </c>
      <c r="D46" t="s">
        <v>128</v>
      </c>
      <c r="E46" t="s">
        <v>129</v>
      </c>
      <c r="F46">
        <v>48034</v>
      </c>
      <c r="G46">
        <v>142</v>
      </c>
      <c r="H46">
        <f t="shared" si="6"/>
        <v>0.33642564802182817</v>
      </c>
      <c r="I46">
        <f t="shared" si="7"/>
        <v>16159.869577080495</v>
      </c>
      <c r="J46">
        <f t="shared" si="8"/>
        <v>9.695679518809102E-3</v>
      </c>
      <c r="K46">
        <f t="shared" si="9"/>
        <v>2.6782860318782324</v>
      </c>
      <c r="L46">
        <f t="shared" si="10"/>
        <v>8.0348580956346964</v>
      </c>
      <c r="M46">
        <f t="shared" si="11"/>
        <v>8034.8580956346968</v>
      </c>
    </row>
    <row r="47" spans="1:24">
      <c r="A47">
        <v>5</v>
      </c>
      <c r="B47">
        <v>2</v>
      </c>
      <c r="C47">
        <v>61</v>
      </c>
      <c r="D47" t="s">
        <v>10</v>
      </c>
      <c r="E47" t="s">
        <v>11</v>
      </c>
      <c r="F47">
        <v>53227</v>
      </c>
      <c r="G47">
        <v>94</v>
      </c>
      <c r="H47">
        <f t="shared" si="6"/>
        <v>0.28403819918144613</v>
      </c>
      <c r="I47">
        <f t="shared" si="7"/>
        <v>15118.501227830833</v>
      </c>
      <c r="J47">
        <f t="shared" si="8"/>
        <v>9.0708741187905152E-3</v>
      </c>
      <c r="K47">
        <f t="shared" si="9"/>
        <v>2.5056929122040983</v>
      </c>
      <c r="L47">
        <f t="shared" si="10"/>
        <v>7.5170787366122944</v>
      </c>
      <c r="M47">
        <f t="shared" si="11"/>
        <v>7517.0787366122941</v>
      </c>
    </row>
    <row r="48" spans="1:24">
      <c r="A48">
        <v>29</v>
      </c>
      <c r="B48">
        <v>2</v>
      </c>
      <c r="C48">
        <v>61</v>
      </c>
      <c r="D48" t="s">
        <v>58</v>
      </c>
      <c r="E48" t="s">
        <v>59</v>
      </c>
      <c r="F48">
        <v>33402</v>
      </c>
      <c r="G48">
        <v>47</v>
      </c>
      <c r="H48">
        <f t="shared" si="6"/>
        <v>0.23274215552523878</v>
      </c>
      <c r="I48">
        <f t="shared" si="7"/>
        <v>7774.0534788540253</v>
      </c>
      <c r="J48">
        <f t="shared" si="8"/>
        <v>4.6643155585831854E-3</v>
      </c>
      <c r="K48">
        <f t="shared" si="9"/>
        <v>1.2884472083252263</v>
      </c>
      <c r="L48">
        <f t="shared" si="10"/>
        <v>3.8653416249756791</v>
      </c>
      <c r="M48">
        <f t="shared" si="11"/>
        <v>3865.3416249756792</v>
      </c>
    </row>
    <row r="49" spans="1:13">
      <c r="A49">
        <v>49</v>
      </c>
      <c r="B49">
        <v>2</v>
      </c>
      <c r="C49">
        <v>61</v>
      </c>
      <c r="D49" t="s">
        <v>98</v>
      </c>
      <c r="E49" t="s">
        <v>99</v>
      </c>
      <c r="F49">
        <v>15836</v>
      </c>
      <c r="G49">
        <v>43</v>
      </c>
      <c r="H49">
        <f t="shared" si="6"/>
        <v>0.22837653478854025</v>
      </c>
      <c r="I49">
        <f t="shared" si="7"/>
        <v>3616.5708049113236</v>
      </c>
      <c r="J49">
        <f t="shared" si="8"/>
        <v>2.1698882725659147E-3</v>
      </c>
      <c r="K49">
        <f t="shared" si="9"/>
        <v>0.59939908697224553</v>
      </c>
      <c r="L49">
        <f t="shared" si="10"/>
        <v>1.7981972609167367</v>
      </c>
      <c r="M49">
        <f t="shared" si="11"/>
        <v>1798.1972609167367</v>
      </c>
    </row>
    <row r="50" spans="1:13">
      <c r="A50">
        <v>63</v>
      </c>
      <c r="B50">
        <v>2</v>
      </c>
      <c r="C50">
        <v>61</v>
      </c>
      <c r="D50" t="s">
        <v>126</v>
      </c>
      <c r="E50" t="s">
        <v>127</v>
      </c>
      <c r="F50">
        <v>5657</v>
      </c>
      <c r="G50">
        <v>22</v>
      </c>
      <c r="H50">
        <f t="shared" si="6"/>
        <v>0.20545702592087314</v>
      </c>
      <c r="I50">
        <f t="shared" si="7"/>
        <v>1162.2703956343794</v>
      </c>
      <c r="J50">
        <f t="shared" si="8"/>
        <v>6.9734481559512109E-4</v>
      </c>
      <c r="K50">
        <f t="shared" si="9"/>
        <v>0.19263104513591828</v>
      </c>
      <c r="L50">
        <f t="shared" si="10"/>
        <v>0.57789313540775478</v>
      </c>
      <c r="M50">
        <f t="shared" si="11"/>
        <v>577.89313540775481</v>
      </c>
    </row>
    <row r="51" spans="1:13">
      <c r="A51">
        <v>6</v>
      </c>
      <c r="B51">
        <v>3</v>
      </c>
      <c r="C51">
        <v>61</v>
      </c>
      <c r="D51" t="s">
        <v>12</v>
      </c>
      <c r="E51" t="s">
        <v>13</v>
      </c>
      <c r="F51">
        <v>13525</v>
      </c>
      <c r="G51">
        <v>34</v>
      </c>
      <c r="H51">
        <f t="shared" si="6"/>
        <v>0.21855388813096865</v>
      </c>
      <c r="I51">
        <f t="shared" si="7"/>
        <v>2955.9413369713511</v>
      </c>
      <c r="J51">
        <f t="shared" si="8"/>
        <v>1.7735204942694919E-3</v>
      </c>
      <c r="K51">
        <f t="shared" si="9"/>
        <v>0.48990843373453313</v>
      </c>
      <c r="L51">
        <f t="shared" si="10"/>
        <v>1.4697253012035993</v>
      </c>
      <c r="M51">
        <f t="shared" si="11"/>
        <v>1469.7253012035994</v>
      </c>
    </row>
    <row r="52" spans="1:13">
      <c r="A52">
        <v>27</v>
      </c>
      <c r="B52">
        <v>3</v>
      </c>
      <c r="C52">
        <v>61</v>
      </c>
      <c r="D52" t="s">
        <v>54</v>
      </c>
      <c r="E52" t="s">
        <v>55</v>
      </c>
      <c r="F52">
        <v>11165</v>
      </c>
      <c r="G52">
        <v>29</v>
      </c>
      <c r="H52">
        <f t="shared" si="6"/>
        <v>0.21309686221009552</v>
      </c>
      <c r="I52">
        <f t="shared" si="7"/>
        <v>2379.2264665757166</v>
      </c>
      <c r="J52">
        <f t="shared" si="8"/>
        <v>1.4275002166666199E-3</v>
      </c>
      <c r="K52">
        <f t="shared" si="9"/>
        <v>0.39432552235090379</v>
      </c>
      <c r="L52">
        <f t="shared" si="10"/>
        <v>1.1829765670527115</v>
      </c>
      <c r="M52">
        <f t="shared" si="11"/>
        <v>1182.9765670527115</v>
      </c>
    </row>
    <row r="53" spans="1:13">
      <c r="A53">
        <v>30</v>
      </c>
      <c r="B53">
        <v>3</v>
      </c>
      <c r="C53">
        <v>61</v>
      </c>
      <c r="D53" t="s">
        <v>60</v>
      </c>
      <c r="E53" t="s">
        <v>61</v>
      </c>
      <c r="F53">
        <v>25415</v>
      </c>
      <c r="G53">
        <v>47</v>
      </c>
      <c r="H53">
        <f t="shared" si="6"/>
        <v>0.23274215552523878</v>
      </c>
      <c r="I53">
        <f t="shared" si="7"/>
        <v>5915.1418826739437</v>
      </c>
      <c r="J53">
        <f t="shared" si="8"/>
        <v>3.5489964649240064E-3</v>
      </c>
      <c r="K53">
        <f t="shared" si="9"/>
        <v>0.98035703848828293</v>
      </c>
      <c r="L53">
        <f t="shared" si="10"/>
        <v>2.9410711154648488</v>
      </c>
      <c r="M53">
        <f t="shared" si="11"/>
        <v>2941.0711154648488</v>
      </c>
    </row>
    <row r="54" spans="1:13">
      <c r="A54">
        <v>33</v>
      </c>
      <c r="B54">
        <v>3</v>
      </c>
      <c r="C54">
        <v>61</v>
      </c>
      <c r="D54" t="s">
        <v>66</v>
      </c>
      <c r="E54" t="s">
        <v>67</v>
      </c>
      <c r="F54">
        <v>8065</v>
      </c>
      <c r="G54">
        <v>21</v>
      </c>
      <c r="H54">
        <f t="shared" si="6"/>
        <v>0.20436562073669851</v>
      </c>
      <c r="I54">
        <f t="shared" si="7"/>
        <v>1648.2087312414735</v>
      </c>
      <c r="J54">
        <f t="shared" si="8"/>
        <v>9.8890053301453639E-4</v>
      </c>
      <c r="K54">
        <f t="shared" si="9"/>
        <v>0.27316893873727049</v>
      </c>
      <c r="L54">
        <f t="shared" si="10"/>
        <v>0.81950681621181154</v>
      </c>
      <c r="M54">
        <f t="shared" si="11"/>
        <v>819.5068162118115</v>
      </c>
    </row>
    <row r="55" spans="1:13">
      <c r="A55">
        <v>35</v>
      </c>
      <c r="B55">
        <v>3</v>
      </c>
      <c r="C55">
        <v>61</v>
      </c>
      <c r="D55" t="s">
        <v>70</v>
      </c>
      <c r="E55" t="s">
        <v>71</v>
      </c>
      <c r="F55">
        <v>14240</v>
      </c>
      <c r="G55">
        <v>27</v>
      </c>
      <c r="H55">
        <f t="shared" si="6"/>
        <v>0.21091405184174628</v>
      </c>
      <c r="I55">
        <f t="shared" si="7"/>
        <v>3003.4160982264671</v>
      </c>
      <c r="J55">
        <f t="shared" si="8"/>
        <v>1.8020046394023475E-3</v>
      </c>
      <c r="K55">
        <f t="shared" si="9"/>
        <v>0.49777675156530748</v>
      </c>
      <c r="L55">
        <f t="shared" si="10"/>
        <v>1.4933302546959224</v>
      </c>
      <c r="M55">
        <f t="shared" si="11"/>
        <v>1493.3302546959223</v>
      </c>
    </row>
    <row r="56" spans="1:13">
      <c r="A56">
        <v>48</v>
      </c>
      <c r="B56">
        <v>3</v>
      </c>
      <c r="C56">
        <v>61</v>
      </c>
      <c r="D56" t="s">
        <v>96</v>
      </c>
      <c r="E56" t="s">
        <v>97</v>
      </c>
      <c r="F56">
        <v>12031</v>
      </c>
      <c r="G56">
        <v>33</v>
      </c>
      <c r="H56">
        <f t="shared" si="6"/>
        <v>0.21746248294679402</v>
      </c>
      <c r="I56">
        <f t="shared" si="7"/>
        <v>2616.291132332879</v>
      </c>
      <c r="J56">
        <f t="shared" si="8"/>
        <v>1.5697354626536919E-3</v>
      </c>
      <c r="K56">
        <f t="shared" si="9"/>
        <v>0.43361587552614261</v>
      </c>
      <c r="L56">
        <f t="shared" si="10"/>
        <v>1.3008476265784279</v>
      </c>
      <c r="M56">
        <f t="shared" si="11"/>
        <v>1300.8476265784279</v>
      </c>
    </row>
    <row r="57" spans="1:13">
      <c r="A57">
        <v>53</v>
      </c>
      <c r="B57">
        <v>3</v>
      </c>
      <c r="C57">
        <v>61</v>
      </c>
      <c r="D57" t="s">
        <v>106</v>
      </c>
      <c r="E57" t="s">
        <v>107</v>
      </c>
      <c r="F57">
        <v>532</v>
      </c>
      <c r="G57">
        <v>17</v>
      </c>
      <c r="H57">
        <f t="shared" si="6"/>
        <v>0.2</v>
      </c>
      <c r="I57">
        <f t="shared" si="7"/>
        <v>106.4</v>
      </c>
      <c r="J57">
        <f t="shared" si="8"/>
        <v>6.383840512329588E-5</v>
      </c>
      <c r="K57">
        <f t="shared" si="9"/>
        <v>1.7634401839233638E-2</v>
      </c>
      <c r="L57">
        <f t="shared" si="10"/>
        <v>5.2903205517700919E-2</v>
      </c>
      <c r="M57">
        <f t="shared" si="11"/>
        <v>52.903205517700918</v>
      </c>
    </row>
    <row r="58" spans="1:13">
      <c r="A58">
        <v>31</v>
      </c>
      <c r="B58">
        <v>1</v>
      </c>
      <c r="C58">
        <v>76</v>
      </c>
      <c r="D58" t="s">
        <v>62</v>
      </c>
      <c r="E58" t="s">
        <v>63</v>
      </c>
      <c r="F58">
        <v>37835</v>
      </c>
      <c r="G58">
        <v>77</v>
      </c>
      <c r="H58">
        <f t="shared" si="6"/>
        <v>0.26548431105047754</v>
      </c>
      <c r="I58">
        <f t="shared" si="7"/>
        <v>10044.598908594819</v>
      </c>
      <c r="J58">
        <f t="shared" si="8"/>
        <v>6.0266087822170257E-3</v>
      </c>
      <c r="K58">
        <f t="shared" si="9"/>
        <v>1.6647602769557202</v>
      </c>
      <c r="L58">
        <f t="shared" si="10"/>
        <v>4.9942808308671607</v>
      </c>
      <c r="M58">
        <f t="shared" si="11"/>
        <v>4994.2808308671611</v>
      </c>
    </row>
    <row r="59" spans="1:13">
      <c r="A59">
        <v>39</v>
      </c>
      <c r="B59">
        <v>1</v>
      </c>
      <c r="C59">
        <v>76</v>
      </c>
      <c r="D59" t="s">
        <v>78</v>
      </c>
      <c r="E59" t="s">
        <v>79</v>
      </c>
      <c r="F59">
        <v>16969</v>
      </c>
      <c r="G59">
        <v>45</v>
      </c>
      <c r="H59">
        <f t="shared" si="6"/>
        <v>0.23055934515688953</v>
      </c>
      <c r="I59">
        <f t="shared" si="7"/>
        <v>3912.3615279672586</v>
      </c>
      <c r="J59">
        <f t="shared" si="8"/>
        <v>2.3473582726613786E-3</v>
      </c>
      <c r="K59">
        <f t="shared" si="9"/>
        <v>0.64842251244861593</v>
      </c>
      <c r="L59">
        <f t="shared" si="10"/>
        <v>1.9452675373458477</v>
      </c>
      <c r="M59">
        <f t="shared" si="11"/>
        <v>1945.2675373458476</v>
      </c>
    </row>
    <row r="60" spans="1:13">
      <c r="A60">
        <v>40</v>
      </c>
      <c r="B60">
        <v>1</v>
      </c>
      <c r="C60">
        <v>76</v>
      </c>
      <c r="D60" t="s">
        <v>80</v>
      </c>
      <c r="E60" t="s">
        <v>81</v>
      </c>
      <c r="F60">
        <v>29076</v>
      </c>
      <c r="G60">
        <v>48</v>
      </c>
      <c r="H60">
        <f t="shared" si="6"/>
        <v>0.23383356070941339</v>
      </c>
      <c r="I60">
        <f t="shared" si="7"/>
        <v>6798.9446111869038</v>
      </c>
      <c r="J60">
        <f t="shared" si="8"/>
        <v>4.0792648543214183E-3</v>
      </c>
      <c r="K60">
        <f t="shared" si="9"/>
        <v>1.126835727033477</v>
      </c>
      <c r="L60">
        <f t="shared" si="10"/>
        <v>3.3805071811004312</v>
      </c>
      <c r="M60">
        <f t="shared" si="11"/>
        <v>3380.5071811004314</v>
      </c>
    </row>
    <row r="61" spans="1:13">
      <c r="A61">
        <v>42</v>
      </c>
      <c r="B61">
        <v>1</v>
      </c>
      <c r="C61">
        <v>76</v>
      </c>
      <c r="D61" t="s">
        <v>84</v>
      </c>
      <c r="E61" t="s">
        <v>85</v>
      </c>
      <c r="F61">
        <v>27698</v>
      </c>
      <c r="G61">
        <v>71</v>
      </c>
      <c r="H61">
        <f t="shared" si="6"/>
        <v>0.25893587994542977</v>
      </c>
      <c r="I61">
        <f t="shared" si="7"/>
        <v>7172.0060027285135</v>
      </c>
      <c r="J61">
        <f t="shared" si="8"/>
        <v>4.3030960972640286E-3</v>
      </c>
      <c r="K61">
        <f t="shared" si="9"/>
        <v>1.1886657504277289</v>
      </c>
      <c r="L61">
        <f t="shared" si="10"/>
        <v>3.5659972512831866</v>
      </c>
      <c r="M61">
        <f t="shared" si="11"/>
        <v>3565.9972512831864</v>
      </c>
    </row>
    <row r="62" spans="1:13">
      <c r="A62">
        <v>44</v>
      </c>
      <c r="B62">
        <v>1</v>
      </c>
      <c r="C62">
        <v>76</v>
      </c>
      <c r="D62" t="s">
        <v>88</v>
      </c>
      <c r="E62" t="s">
        <v>89</v>
      </c>
      <c r="F62">
        <v>24973</v>
      </c>
      <c r="G62">
        <v>51</v>
      </c>
      <c r="H62">
        <f t="shared" si="6"/>
        <v>0.23710777626193727</v>
      </c>
      <c r="I62">
        <f t="shared" si="7"/>
        <v>5921.2924965893599</v>
      </c>
      <c r="J62">
        <f t="shared" si="8"/>
        <v>3.5526867410789809E-3</v>
      </c>
      <c r="K62">
        <f t="shared" si="9"/>
        <v>0.9813764219219524</v>
      </c>
      <c r="L62">
        <f t="shared" si="10"/>
        <v>2.9441292657658571</v>
      </c>
      <c r="M62">
        <f t="shared" si="11"/>
        <v>2944.1292657658569</v>
      </c>
    </row>
    <row r="63" spans="1:13">
      <c r="A63">
        <v>66</v>
      </c>
      <c r="B63">
        <v>1</v>
      </c>
      <c r="C63">
        <v>76</v>
      </c>
      <c r="D63" t="s">
        <v>132</v>
      </c>
      <c r="E63" t="s">
        <v>133</v>
      </c>
      <c r="F63">
        <v>22088</v>
      </c>
      <c r="G63">
        <v>170</v>
      </c>
      <c r="H63">
        <f t="shared" si="6"/>
        <v>0.36698499317871763</v>
      </c>
      <c r="I63">
        <f t="shared" si="7"/>
        <v>8105.9645293315152</v>
      </c>
      <c r="J63">
        <f t="shared" si="8"/>
        <v>4.8634572137080034E-3</v>
      </c>
      <c r="K63">
        <f t="shared" si="9"/>
        <v>1.3434571034286305</v>
      </c>
      <c r="L63">
        <f t="shared" si="10"/>
        <v>4.0303713102858918</v>
      </c>
      <c r="M63">
        <f t="shared" si="11"/>
        <v>4030.3713102858919</v>
      </c>
    </row>
    <row r="64" spans="1:13">
      <c r="A64">
        <v>67</v>
      </c>
      <c r="B64">
        <v>1</v>
      </c>
      <c r="C64">
        <v>76</v>
      </c>
      <c r="D64" t="s">
        <v>134</v>
      </c>
      <c r="E64" t="s">
        <v>135</v>
      </c>
      <c r="F64">
        <v>5195</v>
      </c>
      <c r="G64">
        <v>27</v>
      </c>
      <c r="H64">
        <f t="shared" si="6"/>
        <v>0.21091405184174628</v>
      </c>
      <c r="I64">
        <f t="shared" si="7"/>
        <v>1095.6984993178719</v>
      </c>
      <c r="J64">
        <f t="shared" si="8"/>
        <v>6.574026756808424E-4</v>
      </c>
      <c r="K64">
        <f t="shared" si="9"/>
        <v>0.18159762811669752</v>
      </c>
      <c r="L64">
        <f t="shared" si="10"/>
        <v>0.54479288435009254</v>
      </c>
      <c r="M64">
        <f t="shared" si="11"/>
        <v>544.79288435009255</v>
      </c>
    </row>
    <row r="65" spans="1:13">
      <c r="A65">
        <v>70</v>
      </c>
      <c r="B65">
        <v>1</v>
      </c>
      <c r="C65">
        <v>76</v>
      </c>
      <c r="D65" t="s">
        <v>140</v>
      </c>
      <c r="E65" t="s">
        <v>141</v>
      </c>
      <c r="F65">
        <v>23604</v>
      </c>
      <c r="G65">
        <v>72</v>
      </c>
      <c r="H65">
        <f t="shared" si="6"/>
        <v>0.26002728512960438</v>
      </c>
      <c r="I65">
        <f t="shared" si="7"/>
        <v>6137.6840381991815</v>
      </c>
      <c r="J65">
        <f t="shared" si="8"/>
        <v>3.6825184224562584E-3</v>
      </c>
      <c r="K65">
        <f t="shared" si="9"/>
        <v>1.0172404764272045</v>
      </c>
      <c r="L65">
        <f t="shared" si="10"/>
        <v>3.0517214292816135</v>
      </c>
      <c r="M65">
        <f t="shared" si="11"/>
        <v>3051.7214292816134</v>
      </c>
    </row>
    <row r="66" spans="1:13">
      <c r="A66">
        <v>71</v>
      </c>
      <c r="B66">
        <v>1</v>
      </c>
      <c r="C66">
        <v>76</v>
      </c>
      <c r="D66" t="s">
        <v>142</v>
      </c>
      <c r="E66" t="s">
        <v>143</v>
      </c>
      <c r="F66">
        <v>45775</v>
      </c>
      <c r="G66">
        <v>355</v>
      </c>
      <c r="H66">
        <f t="shared" si="6"/>
        <v>0.56889495225102327</v>
      </c>
      <c r="I66">
        <f t="shared" si="7"/>
        <v>26041.166439290591</v>
      </c>
      <c r="J66">
        <f t="shared" si="8"/>
        <v>1.5624309521001963E-2</v>
      </c>
      <c r="K66">
        <f t="shared" si="9"/>
        <v>4.3159811405339772</v>
      </c>
      <c r="L66">
        <f t="shared" si="10"/>
        <v>12.947943421601931</v>
      </c>
      <c r="M66">
        <f t="shared" si="11"/>
        <v>12947.943421601931</v>
      </c>
    </row>
    <row r="67" spans="1:13">
      <c r="A67">
        <v>1</v>
      </c>
      <c r="B67">
        <v>2</v>
      </c>
      <c r="C67">
        <v>76</v>
      </c>
      <c r="D67" t="s">
        <v>2</v>
      </c>
      <c r="E67" t="s">
        <v>3</v>
      </c>
      <c r="F67">
        <v>77889</v>
      </c>
      <c r="G67">
        <v>136</v>
      </c>
      <c r="H67">
        <f t="shared" si="6"/>
        <v>0.3298772169167804</v>
      </c>
      <c r="I67">
        <f t="shared" si="7"/>
        <v>25693.806548431108</v>
      </c>
      <c r="J67">
        <f t="shared" si="8"/>
        <v>1.5415898793217458E-2</v>
      </c>
      <c r="K67">
        <f t="shared" si="9"/>
        <v>4.2584108031444243</v>
      </c>
      <c r="L67">
        <f t="shared" si="10"/>
        <v>12.775232409433272</v>
      </c>
      <c r="M67">
        <f t="shared" si="11"/>
        <v>12775.232409433273</v>
      </c>
    </row>
    <row r="68" spans="1:13">
      <c r="A68">
        <v>41</v>
      </c>
      <c r="B68">
        <v>2</v>
      </c>
      <c r="C68">
        <v>76</v>
      </c>
      <c r="D68" t="s">
        <v>82</v>
      </c>
      <c r="E68" t="s">
        <v>83</v>
      </c>
      <c r="F68">
        <v>38327</v>
      </c>
      <c r="G68">
        <v>185</v>
      </c>
      <c r="H68">
        <f t="shared" si="6"/>
        <v>0.383356070941337</v>
      </c>
      <c r="I68">
        <f t="shared" si="7"/>
        <v>14692.888130968624</v>
      </c>
      <c r="J68">
        <f t="shared" si="8"/>
        <v>8.8155126403763207E-3</v>
      </c>
      <c r="K68">
        <f t="shared" si="9"/>
        <v>2.4351531342143531</v>
      </c>
      <c r="L68">
        <f t="shared" si="10"/>
        <v>7.3054594026430593</v>
      </c>
      <c r="M68">
        <f t="shared" si="11"/>
        <v>7305.4594026430595</v>
      </c>
    </row>
    <row r="69" spans="1:13">
      <c r="A69">
        <v>54</v>
      </c>
      <c r="B69">
        <v>2</v>
      </c>
      <c r="C69">
        <v>76</v>
      </c>
      <c r="D69" t="s">
        <v>108</v>
      </c>
      <c r="E69" t="s">
        <v>109</v>
      </c>
      <c r="F69">
        <v>265498</v>
      </c>
      <c r="G69">
        <v>536</v>
      </c>
      <c r="H69">
        <f t="shared" ref="H69:H100" si="12">(G69*(0.8/733))+(0.2 -17*(0.8/733))</f>
        <v>0.7664392905866303</v>
      </c>
      <c r="I69">
        <f t="shared" ref="I69:I100" si="13">H69*F69</f>
        <v>203488.09877216918</v>
      </c>
      <c r="J69">
        <f t="shared" ref="J69:J100" si="14">I69/$I$76</f>
        <v>0.12208980909010321</v>
      </c>
      <c r="K69">
        <f t="shared" ref="K69:K100" si="15">J69*$K$80</f>
        <v>33.725478414004662</v>
      </c>
      <c r="L69">
        <f t="shared" ref="L69:L100" si="16">K69*3</f>
        <v>101.17643524201398</v>
      </c>
      <c r="M69">
        <f t="shared" ref="M69:M100" si="17">L69*1000</f>
        <v>101176.43524201398</v>
      </c>
    </row>
    <row r="70" spans="1:13">
      <c r="A70">
        <v>65</v>
      </c>
      <c r="B70">
        <v>2</v>
      </c>
      <c r="C70">
        <v>76</v>
      </c>
      <c r="D70" t="s">
        <v>130</v>
      </c>
      <c r="E70" t="s">
        <v>131</v>
      </c>
      <c r="F70">
        <v>15038</v>
      </c>
      <c r="G70">
        <v>104</v>
      </c>
      <c r="H70">
        <f t="shared" si="12"/>
        <v>0.29495225102319239</v>
      </c>
      <c r="I70">
        <f t="shared" si="13"/>
        <v>4435.491950886767</v>
      </c>
      <c r="J70">
        <f t="shared" si="14"/>
        <v>2.6612286849795807E-3</v>
      </c>
      <c r="K70">
        <f t="shared" si="15"/>
        <v>0.7351245057953345</v>
      </c>
      <c r="L70">
        <f t="shared" si="16"/>
        <v>2.2053735173860036</v>
      </c>
      <c r="M70">
        <f t="shared" si="17"/>
        <v>2205.3735173860036</v>
      </c>
    </row>
    <row r="71" spans="1:13">
      <c r="A71">
        <v>2</v>
      </c>
      <c r="B71">
        <v>3</v>
      </c>
      <c r="C71">
        <v>76</v>
      </c>
      <c r="D71" t="s">
        <v>4</v>
      </c>
      <c r="E71" t="s">
        <v>5</v>
      </c>
      <c r="F71">
        <v>496629</v>
      </c>
      <c r="G71">
        <v>748</v>
      </c>
      <c r="H71">
        <f t="shared" si="12"/>
        <v>0.99781718963165078</v>
      </c>
      <c r="I71">
        <f t="shared" si="13"/>
        <v>495544.95306957711</v>
      </c>
      <c r="J71">
        <f t="shared" si="14"/>
        <v>0.29731954389906301</v>
      </c>
      <c r="K71">
        <f t="shared" si="15"/>
        <v>82.130064208957677</v>
      </c>
      <c r="L71">
        <f t="shared" si="16"/>
        <v>246.39019262687304</v>
      </c>
      <c r="M71">
        <f t="shared" si="17"/>
        <v>246390.19262687303</v>
      </c>
    </row>
    <row r="72" spans="1:13">
      <c r="A72">
        <v>43</v>
      </c>
      <c r="B72">
        <v>3</v>
      </c>
      <c r="C72">
        <v>76</v>
      </c>
      <c r="D72" t="s">
        <v>86</v>
      </c>
      <c r="E72" t="s">
        <v>87</v>
      </c>
      <c r="F72">
        <v>21198</v>
      </c>
      <c r="G72">
        <v>84</v>
      </c>
      <c r="H72">
        <f t="shared" si="12"/>
        <v>0.27312414733969992</v>
      </c>
      <c r="I72">
        <f t="shared" si="13"/>
        <v>5789.6856753069587</v>
      </c>
      <c r="J72">
        <f t="shared" si="14"/>
        <v>3.473724621022448E-3</v>
      </c>
      <c r="K72">
        <f t="shared" si="15"/>
        <v>0.95956432068813591</v>
      </c>
      <c r="L72">
        <f t="shared" si="16"/>
        <v>2.8786929620644077</v>
      </c>
      <c r="M72">
        <f t="shared" si="17"/>
        <v>2878.6929620644078</v>
      </c>
    </row>
    <row r="73" spans="1:13">
      <c r="A73">
        <v>46</v>
      </c>
      <c r="B73">
        <v>3</v>
      </c>
      <c r="C73">
        <v>76</v>
      </c>
      <c r="D73" t="s">
        <v>92</v>
      </c>
      <c r="E73" t="s">
        <v>93</v>
      </c>
      <c r="F73">
        <v>55643</v>
      </c>
      <c r="G73">
        <v>102</v>
      </c>
      <c r="H73">
        <f t="shared" si="12"/>
        <v>0.29276944065484312</v>
      </c>
      <c r="I73">
        <f t="shared" si="13"/>
        <v>16290.569986357435</v>
      </c>
      <c r="J73">
        <f t="shared" si="14"/>
        <v>9.7740978052489706E-3</v>
      </c>
      <c r="K73">
        <f t="shared" si="15"/>
        <v>2.6999479072329495</v>
      </c>
      <c r="L73">
        <f t="shared" si="16"/>
        <v>8.0998437216988481</v>
      </c>
      <c r="M73">
        <f t="shared" si="17"/>
        <v>8099.8437216988477</v>
      </c>
    </row>
    <row r="74" spans="1:13">
      <c r="A74">
        <v>68</v>
      </c>
      <c r="B74">
        <v>3</v>
      </c>
      <c r="C74">
        <v>76</v>
      </c>
      <c r="D74" t="s">
        <v>136</v>
      </c>
      <c r="E74" t="s">
        <v>137</v>
      </c>
      <c r="F74">
        <v>26035</v>
      </c>
      <c r="G74">
        <v>155</v>
      </c>
      <c r="H74">
        <f t="shared" si="12"/>
        <v>0.35061391541609827</v>
      </c>
      <c r="I74">
        <f t="shared" si="13"/>
        <v>9128.2332878581183</v>
      </c>
      <c r="J74">
        <f t="shared" si="14"/>
        <v>5.4768031455849778E-3</v>
      </c>
      <c r="K74">
        <f t="shared" si="15"/>
        <v>1.5128847169206665</v>
      </c>
      <c r="L74">
        <f t="shared" si="16"/>
        <v>4.5386541507619995</v>
      </c>
      <c r="M74">
        <f t="shared" si="17"/>
        <v>4538.6541507619995</v>
      </c>
    </row>
    <row r="75" spans="1:13">
      <c r="A75">
        <v>69</v>
      </c>
      <c r="B75">
        <v>3</v>
      </c>
      <c r="C75">
        <v>76</v>
      </c>
      <c r="D75" t="s">
        <v>138</v>
      </c>
      <c r="E75" t="s">
        <v>139</v>
      </c>
      <c r="F75">
        <v>25189</v>
      </c>
      <c r="G75">
        <v>284</v>
      </c>
      <c r="H75">
        <f t="shared" si="12"/>
        <v>0.49140518417462487</v>
      </c>
      <c r="I75">
        <f t="shared" si="13"/>
        <v>12378.005184174626</v>
      </c>
      <c r="J75">
        <f t="shared" si="14"/>
        <v>7.4266175711052282E-3</v>
      </c>
      <c r="K75">
        <f t="shared" si="15"/>
        <v>2.0514917047542527</v>
      </c>
      <c r="L75">
        <f t="shared" si="16"/>
        <v>6.1544751142627581</v>
      </c>
      <c r="M75">
        <f t="shared" si="17"/>
        <v>6154.4751142627583</v>
      </c>
    </row>
    <row r="76" spans="1:13">
      <c r="I76">
        <f>SUM(I5:I75)</f>
        <v>1666708.3050477491</v>
      </c>
      <c r="J76">
        <f>SUM(J5:J75)</f>
        <v>0.99999999999999989</v>
      </c>
      <c r="K76">
        <f>SUM(K5:K75)</f>
        <v>276.23500000000001</v>
      </c>
      <c r="L76">
        <f>SUM(L5:L75)</f>
        <v>828.70500000000015</v>
      </c>
      <c r="M76">
        <f>SUM(M5:M75)</f>
        <v>828705.00000000035</v>
      </c>
    </row>
    <row r="78" spans="1:13" hidden="1"/>
    <row r="79" spans="1:13" hidden="1">
      <c r="G79">
        <f>MIN(G5:G75)</f>
        <v>17</v>
      </c>
    </row>
    <row r="80" spans="1:13" ht="39" hidden="1" customHeight="1">
      <c r="G80">
        <f>MAX(G5:G75)</f>
        <v>750</v>
      </c>
      <c r="K80" s="5">
        <v>276.23500000000001</v>
      </c>
      <c r="L80">
        <f t="shared" ref="L80" si="18">K80*3</f>
        <v>828.70500000000004</v>
      </c>
    </row>
    <row r="81" spans="7:7" hidden="1"/>
    <row r="82" spans="7:7" hidden="1">
      <c r="G82" t="s">
        <v>612</v>
      </c>
    </row>
    <row r="83" spans="7:7" hidden="1">
      <c r="G83" t="s">
        <v>613</v>
      </c>
    </row>
    <row r="84" spans="7:7" hidden="1"/>
    <row r="85" spans="7:7" hidden="1"/>
    <row r="91" spans="7:7" ht="38.25" customHeight="1"/>
    <row r="92" spans="7:7" ht="30" customHeight="1"/>
  </sheetData>
  <sheetProtection sheet="1" objects="1" scenarios="1"/>
  <autoFilter ref="K80:L80" xr:uid="{CEEE762B-94D9-4F1F-95B7-4F924FB76C0A}"/>
  <sortState xmlns:xlrd2="http://schemas.microsoft.com/office/spreadsheetml/2017/richdata2" ref="A5:X75">
    <sortCondition ref="A5:A75"/>
  </sortState>
  <mergeCells count="6">
    <mergeCell ref="O14:T14"/>
    <mergeCell ref="V3:X3"/>
    <mergeCell ref="O3:T3"/>
    <mergeCell ref="A3:C3"/>
    <mergeCell ref="D3:E3"/>
    <mergeCell ref="F3:K3"/>
  </mergeCells>
  <pageMargins left="0.7" right="0.7" top="0.75" bottom="0.75" header="0.3" footer="0.3"/>
  <drawing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19FBB-EE99-4FB5-B492-4D567ED3E547}">
  <sheetPr codeName="Feuil17"/>
  <dimension ref="G8:CB91"/>
  <sheetViews>
    <sheetView zoomScale="85" zoomScaleNormal="85" workbookViewId="0">
      <selection activeCell="BI31" sqref="BI1:BQ1048576"/>
    </sheetView>
  </sheetViews>
  <sheetFormatPr baseColWidth="10" defaultRowHeight="15"/>
  <cols>
    <col min="1" max="6" width="11" style="5"/>
    <col min="7" max="7" width="12" style="5" bestFit="1" customWidth="1"/>
    <col min="8" max="8" width="11" style="5"/>
    <col min="9" max="9" width="10" style="5" bestFit="1" customWidth="1"/>
    <col min="10" max="26" width="11" style="5"/>
    <col min="27" max="27" width="13.25" style="5" customWidth="1"/>
    <col min="28" max="48" width="11" style="5"/>
    <col min="49" max="49" width="13.875" style="5" bestFit="1" customWidth="1"/>
    <col min="50" max="53" width="11" style="5"/>
    <col min="54" max="54" width="11.25" style="5" bestFit="1" customWidth="1"/>
    <col min="55" max="57" width="12.375" style="5" customWidth="1"/>
    <col min="58" max="58" width="14.875" style="5" bestFit="1" customWidth="1"/>
    <col min="59" max="60" width="11" style="5"/>
    <col min="61" max="69" width="0" style="5" hidden="1" customWidth="1"/>
    <col min="70" max="70" width="11" style="5"/>
    <col min="71" max="71" width="11.625" style="5" bestFit="1" customWidth="1"/>
    <col min="72" max="16384" width="11" style="5"/>
  </cols>
  <sheetData>
    <row r="8" spans="7:31">
      <c r="G8" s="12"/>
      <c r="H8" s="135" t="s">
        <v>405</v>
      </c>
      <c r="I8" s="136"/>
      <c r="J8" s="136"/>
      <c r="K8" s="136"/>
      <c r="L8" s="136"/>
      <c r="M8" s="136"/>
      <c r="N8" s="136"/>
      <c r="O8" s="136"/>
      <c r="P8" s="136"/>
      <c r="Q8" s="136"/>
      <c r="R8" s="136"/>
      <c r="S8" s="136"/>
      <c r="T8" s="136"/>
      <c r="U8" s="136"/>
      <c r="V8" s="136"/>
      <c r="W8" s="137"/>
      <c r="AA8" s="143" t="s">
        <v>392</v>
      </c>
      <c r="AB8" s="143"/>
      <c r="AC8" s="143"/>
      <c r="AD8" s="143"/>
    </row>
    <row r="9" spans="7:31" ht="105">
      <c r="G9" s="12" t="s">
        <v>145</v>
      </c>
      <c r="H9" s="12" t="s">
        <v>404</v>
      </c>
      <c r="I9" s="12" t="s">
        <v>403</v>
      </c>
      <c r="J9" s="12" t="s">
        <v>402</v>
      </c>
      <c r="K9" s="12" t="s">
        <v>401</v>
      </c>
      <c r="L9" s="12" t="s">
        <v>400</v>
      </c>
      <c r="M9" s="12" t="s">
        <v>399</v>
      </c>
      <c r="N9" s="12" t="s">
        <v>355</v>
      </c>
      <c r="O9" s="12" t="s">
        <v>398</v>
      </c>
      <c r="P9" s="12" t="s">
        <v>354</v>
      </c>
      <c r="Q9" s="12" t="s">
        <v>397</v>
      </c>
      <c r="R9" s="12" t="s">
        <v>396</v>
      </c>
      <c r="S9" s="12" t="s">
        <v>395</v>
      </c>
      <c r="T9" s="12" t="s">
        <v>394</v>
      </c>
      <c r="U9" s="12" t="s">
        <v>393</v>
      </c>
      <c r="V9" s="12" t="s">
        <v>154</v>
      </c>
      <c r="W9" s="12" t="s">
        <v>318</v>
      </c>
      <c r="AA9" s="53" t="s">
        <v>386</v>
      </c>
      <c r="AB9" s="53" t="s">
        <v>391</v>
      </c>
      <c r="AC9" s="53" t="s">
        <v>390</v>
      </c>
      <c r="AD9" s="53" t="s">
        <v>389</v>
      </c>
    </row>
    <row r="10" spans="7:31">
      <c r="G10" s="11" t="s">
        <v>181</v>
      </c>
      <c r="H10" s="10">
        <v>278.35036772182775</v>
      </c>
      <c r="I10" s="10">
        <f>H10*$BJ$49</f>
        <v>97.422628702639713</v>
      </c>
      <c r="J10" s="10">
        <v>786922.30576441088</v>
      </c>
      <c r="K10" s="10">
        <f>J10*0.33*$BK$49</f>
        <v>51936.872180451122</v>
      </c>
      <c r="L10" s="10">
        <v>8565.5306568868837</v>
      </c>
      <c r="M10" s="10">
        <f>L10*0.8*$BL$49</f>
        <v>2398.3485839283276</v>
      </c>
      <c r="N10" s="10">
        <v>171102.98426382715</v>
      </c>
      <c r="O10" s="10">
        <f>N10*$BM$49</f>
        <v>17110.298426382717</v>
      </c>
      <c r="P10" s="10">
        <v>1214.7387793387309</v>
      </c>
      <c r="Q10" s="10">
        <f>P10</f>
        <v>1214.7387793387309</v>
      </c>
      <c r="R10" s="10">
        <v>1771.9583332437498</v>
      </c>
      <c r="S10" s="10">
        <f>R10*$BO$49</f>
        <v>1417.566666595</v>
      </c>
      <c r="T10" s="10">
        <v>31092.237560192618</v>
      </c>
      <c r="U10" s="10">
        <f>T10*0.03*$BP$49</f>
        <v>746.21370144462287</v>
      </c>
      <c r="V10" s="10">
        <v>1000948.1057256219</v>
      </c>
      <c r="W10" s="10">
        <v>26.089032722302186</v>
      </c>
      <c r="AA10" s="52" t="s">
        <v>380</v>
      </c>
      <c r="AB10" s="16">
        <f>AH31</f>
        <v>3.23</v>
      </c>
      <c r="AC10" s="16">
        <f>('A-synth-prod'!AO35)/1000</f>
        <v>111.968</v>
      </c>
      <c r="AD10" s="10">
        <f>(AB10/AC10)*100</f>
        <v>2.8847527865104317</v>
      </c>
      <c r="AE10" s="10">
        <f>(AC10/AB10)*100</f>
        <v>3466.501547987616</v>
      </c>
    </row>
    <row r="11" spans="7:31">
      <c r="G11" s="11" t="s">
        <v>205</v>
      </c>
      <c r="H11" s="10">
        <v>242.16269115957866</v>
      </c>
      <c r="I11" s="10">
        <f>H11*$BJ$49</f>
        <v>84.756941905852528</v>
      </c>
      <c r="J11" s="10">
        <v>148877.19298245615</v>
      </c>
      <c r="K11" s="10">
        <f>J11*0.33*$BK$49</f>
        <v>9825.8947368421068</v>
      </c>
      <c r="L11" s="10">
        <v>6063.3882726577394</v>
      </c>
      <c r="M11" s="10">
        <f>L11*0.8*$BL$49</f>
        <v>1697.748716344167</v>
      </c>
      <c r="N11" s="10">
        <v>119912.00321630997</v>
      </c>
      <c r="O11" s="10">
        <f>N11*$BM$49</f>
        <v>11991.200321630997</v>
      </c>
      <c r="P11" s="10">
        <v>1575.862484953645</v>
      </c>
      <c r="Q11" s="10">
        <f>P11</f>
        <v>1575.862484953645</v>
      </c>
      <c r="R11" s="10">
        <v>6593.3333330000014</v>
      </c>
      <c r="S11" s="10">
        <f>R11*$BO$49</f>
        <v>5274.6666664000013</v>
      </c>
      <c r="T11" s="10">
        <v>11951.6404494382</v>
      </c>
      <c r="U11" s="10">
        <f>T11*0.03*$BP$49</f>
        <v>286.83937078651678</v>
      </c>
      <c r="V11" s="10">
        <v>295215.58342997526</v>
      </c>
      <c r="W11" s="10">
        <v>7.6945937278684289</v>
      </c>
      <c r="AA11" s="52" t="s">
        <v>388</v>
      </c>
      <c r="AB11" s="16">
        <f>AH32</f>
        <v>197.75</v>
      </c>
      <c r="AC11" s="16">
        <f>('A-synth-prod'!AN35)/1000</f>
        <v>13.845999999300002</v>
      </c>
      <c r="AD11" s="10">
        <f>(AB11/AC11)*100</f>
        <v>1428.2103135201319</v>
      </c>
      <c r="AE11" s="10">
        <f>(AC11/AB11)*100</f>
        <v>7.0017699111504434</v>
      </c>
    </row>
    <row r="12" spans="7:31">
      <c r="G12" s="11" t="s">
        <v>200</v>
      </c>
      <c r="H12" s="10">
        <v>227.62874515918361</v>
      </c>
      <c r="I12" s="10">
        <f>H12*$BJ$49</f>
        <v>79.670060805714257</v>
      </c>
      <c r="J12" s="10">
        <v>914531.32832080196</v>
      </c>
      <c r="K12" s="10">
        <f>J12*0.33*$BK$49</f>
        <v>60359.067669172939</v>
      </c>
      <c r="L12" s="10">
        <v>14171.77914604157</v>
      </c>
      <c r="M12" s="10">
        <f>L12*0.8*$BL$49</f>
        <v>3968.09816089164</v>
      </c>
      <c r="N12" s="10">
        <v>109791.83138704278</v>
      </c>
      <c r="O12" s="10">
        <f>N12*$BM$49</f>
        <v>10979.183138704278</v>
      </c>
      <c r="P12" s="10">
        <v>1881.7615169382759</v>
      </c>
      <c r="Q12" s="10">
        <f>P12</f>
        <v>1881.7615169382759</v>
      </c>
      <c r="R12" s="10">
        <v>2266.4583332187503</v>
      </c>
      <c r="S12" s="10">
        <f>R12*$BO$49</f>
        <v>1813.1666665750004</v>
      </c>
      <c r="T12" s="10">
        <v>28755.826645264846</v>
      </c>
      <c r="U12" s="10">
        <f>T12*0.03*$BP$49</f>
        <v>690.13983948635632</v>
      </c>
      <c r="V12" s="10">
        <v>1071626.6140944671</v>
      </c>
      <c r="W12" s="10">
        <v>27.931220051545974</v>
      </c>
      <c r="AA12" s="52" t="s">
        <v>378</v>
      </c>
      <c r="AB12" s="16">
        <f>AH33</f>
        <v>3.5</v>
      </c>
      <c r="AC12" s="16">
        <f>('A-synth-prod'!W35)/1000</f>
        <v>1.2686548629219965</v>
      </c>
      <c r="AD12" s="10">
        <f>(AB12/AC12)*100</f>
        <v>275.88275600337158</v>
      </c>
      <c r="AE12" s="10">
        <f>(AC12/AB12)*100</f>
        <v>36.247281797771329</v>
      </c>
    </row>
    <row r="13" spans="7:31">
      <c r="G13" s="11" t="s">
        <v>272</v>
      </c>
      <c r="H13" s="10">
        <v>278.35036772182775</v>
      </c>
      <c r="I13" s="10">
        <f>H13*$BJ$49</f>
        <v>97.422628702639713</v>
      </c>
      <c r="J13" s="10">
        <v>552972.43107769417</v>
      </c>
      <c r="K13" s="10">
        <f>J13*0.33*$BK$49</f>
        <v>36496.180451127817</v>
      </c>
      <c r="L13" s="10">
        <v>6071.533857393295</v>
      </c>
      <c r="M13" s="10">
        <f>L13*0.8*$BL$49</f>
        <v>1700.0294800701226</v>
      </c>
      <c r="N13" s="10">
        <v>40464.875588187264</v>
      </c>
      <c r="O13" s="10">
        <f>N13*$BM$49</f>
        <v>4046.4875588187265</v>
      </c>
      <c r="P13" s="10">
        <v>1095.4058729277217</v>
      </c>
      <c r="Q13" s="10">
        <f>P13</f>
        <v>1095.4058729277217</v>
      </c>
      <c r="R13" s="10">
        <v>700.54166663124988</v>
      </c>
      <c r="S13" s="10">
        <f>R13*$BO$49</f>
        <v>560.43333330499991</v>
      </c>
      <c r="T13" s="10">
        <v>32709.752808988764</v>
      </c>
      <c r="U13" s="10">
        <f>T13*0.03*$BP$49</f>
        <v>785.03406741573031</v>
      </c>
      <c r="V13" s="10">
        <v>634292.89123954438</v>
      </c>
      <c r="W13" s="10">
        <v>16.532413519156272</v>
      </c>
      <c r="AA13" s="52" t="s">
        <v>370</v>
      </c>
      <c r="AB13" s="16">
        <f>AH41</f>
        <v>419.55</v>
      </c>
      <c r="AC13" s="16">
        <f>('A-Demande-Ind-lait'!AL12)/1000</f>
        <v>1272</v>
      </c>
      <c r="AD13" s="10">
        <f>(AB13/AC13)*100</f>
        <v>32.983490566037737</v>
      </c>
      <c r="AE13" s="10">
        <f>(AC13/AB13)*100</f>
        <v>303.18198069360028</v>
      </c>
    </row>
    <row r="14" spans="7:31">
      <c r="G14" s="11" t="s">
        <v>271</v>
      </c>
      <c r="H14" s="10">
        <v>242.16269115957866</v>
      </c>
      <c r="I14" s="10">
        <f>H14*$BJ$49</f>
        <v>84.756941905852528</v>
      </c>
      <c r="J14" s="10">
        <v>425363.40852130321</v>
      </c>
      <c r="K14" s="10">
        <f>J14*0.33*$BK$49</f>
        <v>28073.984962406015</v>
      </c>
      <c r="L14" s="10">
        <v>8335.8340629963641</v>
      </c>
      <c r="M14" s="10">
        <f>L14*0.8*$BL$49</f>
        <v>2334.0335376389817</v>
      </c>
      <c r="N14" s="10">
        <v>387433.30554463272</v>
      </c>
      <c r="O14" s="10">
        <f>N14*$BM$49</f>
        <v>38743.330554463275</v>
      </c>
      <c r="P14" s="10">
        <v>3232.2313458416256</v>
      </c>
      <c r="Q14" s="10">
        <f>P14</f>
        <v>3232.2313458416256</v>
      </c>
      <c r="R14" s="10">
        <v>2513.7083332062498</v>
      </c>
      <c r="S14" s="10">
        <f>R14*$BO$49</f>
        <v>2010.966666565</v>
      </c>
      <c r="T14" s="10">
        <v>7458.5425361155694</v>
      </c>
      <c r="U14" s="10">
        <f>T14*0.03*$BP$49</f>
        <v>179.00502086677366</v>
      </c>
      <c r="V14" s="10">
        <v>834579.19303525542</v>
      </c>
      <c r="W14" s="10">
        <v>21.752739979127153</v>
      </c>
      <c r="AA14" s="9" t="s">
        <v>365</v>
      </c>
      <c r="AB14" s="16">
        <f>SUM(AB10:AB13)</f>
        <v>624.03</v>
      </c>
      <c r="AC14" s="16">
        <f>SUM(AC10:AC13)</f>
        <v>1399.0826548622219</v>
      </c>
      <c r="AD14" s="51"/>
    </row>
    <row r="15" spans="7:31">
      <c r="G15" s="9" t="s">
        <v>230</v>
      </c>
      <c r="H15" s="8">
        <v>1268.6548629219965</v>
      </c>
      <c r="I15" s="8"/>
      <c r="J15" s="8">
        <v>2828666.666666666</v>
      </c>
      <c r="K15" s="8"/>
      <c r="L15" s="8">
        <v>43208.065995975856</v>
      </c>
      <c r="M15" s="8"/>
      <c r="N15" s="8">
        <v>828704.99999999988</v>
      </c>
      <c r="O15" s="8"/>
      <c r="P15" s="8">
        <v>9000</v>
      </c>
      <c r="Q15" s="8"/>
      <c r="R15" s="8">
        <v>13845.999999300002</v>
      </c>
      <c r="S15" s="8"/>
      <c r="T15" s="8">
        <v>111968</v>
      </c>
      <c r="U15" s="8"/>
      <c r="V15" s="8">
        <v>3836662.3875248637</v>
      </c>
      <c r="W15" s="37"/>
    </row>
    <row r="16" spans="7:31">
      <c r="G16" s="9" t="s">
        <v>317</v>
      </c>
      <c r="H16" s="38">
        <v>3.3066627573150646E-2</v>
      </c>
      <c r="I16" s="38"/>
      <c r="J16" s="10">
        <v>73.727275974666</v>
      </c>
      <c r="K16" s="10"/>
      <c r="L16" s="10">
        <v>1.1261889014907711</v>
      </c>
      <c r="M16" s="10"/>
      <c r="N16" s="10">
        <v>21.599633126297054</v>
      </c>
      <c r="O16" s="10"/>
      <c r="P16" s="38">
        <v>0.23457888891303119</v>
      </c>
      <c r="Q16" s="38"/>
      <c r="R16" s="38">
        <v>0.36088658841395832</v>
      </c>
      <c r="S16" s="38"/>
      <c r="T16" s="10">
        <v>2.9183698926460306</v>
      </c>
      <c r="U16" s="10"/>
      <c r="V16" s="36"/>
      <c r="W16" s="36"/>
    </row>
    <row r="28" spans="32:36">
      <c r="AF28" s="170" t="s">
        <v>387</v>
      </c>
      <c r="AG28" s="171"/>
      <c r="AH28" s="171"/>
      <c r="AI28" s="171"/>
      <c r="AJ28" s="172"/>
    </row>
    <row r="29" spans="32:36" ht="60">
      <c r="AF29" s="50" t="s">
        <v>386</v>
      </c>
      <c r="AG29" s="49" t="s">
        <v>385</v>
      </c>
      <c r="AH29" s="49" t="s">
        <v>384</v>
      </c>
      <c r="AI29" s="49" t="s">
        <v>383</v>
      </c>
      <c r="AJ29" s="48" t="s">
        <v>382</v>
      </c>
    </row>
    <row r="30" spans="32:36">
      <c r="AF30" s="25" t="s">
        <v>381</v>
      </c>
      <c r="AG30" s="10">
        <v>1434</v>
      </c>
      <c r="AH30" s="10">
        <v>71.7</v>
      </c>
      <c r="AI30" s="10">
        <v>61.661999999999999</v>
      </c>
      <c r="AJ30" s="46">
        <v>55.495800000000003</v>
      </c>
    </row>
    <row r="31" spans="32:36">
      <c r="AF31" s="25" t="s">
        <v>380</v>
      </c>
      <c r="AG31" s="16">
        <v>143</v>
      </c>
      <c r="AH31" s="16">
        <v>3.23</v>
      </c>
      <c r="AI31" s="16">
        <v>2.7778</v>
      </c>
      <c r="AJ31" s="47">
        <v>2.5000200000000001</v>
      </c>
    </row>
    <row r="32" spans="32:36">
      <c r="AF32" s="25" t="s">
        <v>379</v>
      </c>
      <c r="AG32" s="10">
        <v>3955</v>
      </c>
      <c r="AH32" s="10">
        <v>197.75</v>
      </c>
      <c r="AI32" s="10">
        <v>170.065</v>
      </c>
      <c r="AJ32" s="46">
        <v>153.05850000000001</v>
      </c>
    </row>
    <row r="33" spans="32:62">
      <c r="AF33" s="25" t="s">
        <v>378</v>
      </c>
      <c r="AG33" s="10">
        <v>70</v>
      </c>
      <c r="AH33" s="10">
        <v>3.5</v>
      </c>
      <c r="AI33" s="10">
        <v>3.5</v>
      </c>
      <c r="AJ33" s="46">
        <v>0.70000000000000007</v>
      </c>
    </row>
    <row r="34" spans="32:62">
      <c r="AF34" s="25" t="s">
        <v>377</v>
      </c>
      <c r="AG34" s="10">
        <v>5848</v>
      </c>
      <c r="AH34" s="10">
        <v>292.40000000000003</v>
      </c>
      <c r="AI34" s="10">
        <v>251.46400000000003</v>
      </c>
      <c r="AJ34" s="46">
        <v>2.5146400000000004</v>
      </c>
    </row>
    <row r="35" spans="32:62">
      <c r="AF35" s="25" t="s">
        <v>376</v>
      </c>
      <c r="AG35" s="10">
        <v>273</v>
      </c>
      <c r="AH35" s="10">
        <v>13.65</v>
      </c>
      <c r="AI35" s="10">
        <v>11.739000000000001</v>
      </c>
      <c r="AJ35" s="46">
        <v>10.565100000000001</v>
      </c>
    </row>
    <row r="36" spans="32:62">
      <c r="AF36" s="25" t="s">
        <v>375</v>
      </c>
      <c r="AG36" s="10">
        <v>238</v>
      </c>
      <c r="AH36" s="10">
        <v>11.9</v>
      </c>
      <c r="AI36" s="10">
        <v>10.234</v>
      </c>
      <c r="AJ36" s="46">
        <v>10.234</v>
      </c>
    </row>
    <row r="37" spans="32:62">
      <c r="AF37" s="25" t="s">
        <v>374</v>
      </c>
      <c r="AG37" s="10">
        <v>1329</v>
      </c>
      <c r="AH37" s="10">
        <v>66.45</v>
      </c>
      <c r="AI37" s="10">
        <v>57.146999999999998</v>
      </c>
      <c r="AJ37" s="46">
        <v>5.7147000000000006</v>
      </c>
    </row>
    <row r="38" spans="32:62">
      <c r="AF38" s="25" t="s">
        <v>373</v>
      </c>
      <c r="AG38" s="10">
        <v>1370</v>
      </c>
      <c r="AH38" s="10">
        <v>68.5</v>
      </c>
      <c r="AI38" s="10">
        <v>58.91</v>
      </c>
      <c r="AJ38" s="46">
        <v>11.782</v>
      </c>
    </row>
    <row r="39" spans="32:62">
      <c r="AF39" s="25" t="s">
        <v>372</v>
      </c>
      <c r="AG39" s="10">
        <v>2732</v>
      </c>
      <c r="AH39" s="10">
        <v>136.6</v>
      </c>
      <c r="AI39" s="10">
        <v>117.476</v>
      </c>
      <c r="AJ39" s="46">
        <v>58.738</v>
      </c>
    </row>
    <row r="40" spans="32:62">
      <c r="AF40" s="25" t="s">
        <v>371</v>
      </c>
      <c r="AG40" s="10">
        <v>3242</v>
      </c>
      <c r="AH40" s="10">
        <v>162.10000000000002</v>
      </c>
      <c r="AI40" s="10">
        <v>139.40600000000001</v>
      </c>
      <c r="AJ40" s="46">
        <v>0</v>
      </c>
    </row>
    <row r="41" spans="32:62">
      <c r="AF41" s="25" t="s">
        <v>370</v>
      </c>
      <c r="AG41" s="10">
        <v>8391</v>
      </c>
      <c r="AH41" s="10">
        <v>419.55</v>
      </c>
      <c r="AI41" s="10">
        <v>360.81299999999999</v>
      </c>
      <c r="AJ41" s="46">
        <v>18.040649999999999</v>
      </c>
    </row>
    <row r="42" spans="32:62">
      <c r="AF42" s="25" t="s">
        <v>369</v>
      </c>
      <c r="AG42" s="10">
        <v>1654</v>
      </c>
      <c r="AH42" s="10">
        <v>82.7</v>
      </c>
      <c r="AI42" s="10">
        <v>71.122</v>
      </c>
      <c r="AJ42" s="46">
        <v>49.785399999999996</v>
      </c>
    </row>
    <row r="43" spans="32:62">
      <c r="AF43" s="25" t="s">
        <v>368</v>
      </c>
      <c r="AG43" s="10">
        <v>837</v>
      </c>
      <c r="AH43" s="10">
        <v>41.85</v>
      </c>
      <c r="AI43" s="10">
        <v>35.991</v>
      </c>
      <c r="AJ43" s="46">
        <v>14.3964</v>
      </c>
    </row>
    <row r="44" spans="32:62">
      <c r="AF44" s="25" t="s">
        <v>367</v>
      </c>
      <c r="AG44" s="10">
        <v>1453</v>
      </c>
      <c r="AH44" s="10">
        <v>72.650000000000006</v>
      </c>
      <c r="AI44" s="10">
        <v>62.479000000000006</v>
      </c>
      <c r="AJ44" s="46">
        <v>0</v>
      </c>
    </row>
    <row r="45" spans="32:62">
      <c r="AF45" s="25" t="s">
        <v>366</v>
      </c>
      <c r="AG45" s="10">
        <v>1281</v>
      </c>
      <c r="AH45" s="10">
        <v>64.05</v>
      </c>
      <c r="AI45" s="10">
        <v>55.082999999999998</v>
      </c>
      <c r="AJ45" s="46">
        <v>0</v>
      </c>
    </row>
    <row r="46" spans="32:62">
      <c r="AF46" s="24" t="s">
        <v>365</v>
      </c>
      <c r="AG46" s="45">
        <v>34250</v>
      </c>
      <c r="AH46" s="45">
        <v>1708.5800000000002</v>
      </c>
      <c r="AI46" s="45">
        <v>1469.8688000000002</v>
      </c>
      <c r="AJ46" s="44">
        <v>393.52521000000002</v>
      </c>
    </row>
    <row r="47" spans="32:62" ht="31.15" customHeight="1">
      <c r="AF47" s="167" t="s">
        <v>364</v>
      </c>
      <c r="AG47" s="167"/>
      <c r="AH47" s="167"/>
      <c r="AI47" s="167"/>
      <c r="AJ47" s="167"/>
    </row>
    <row r="48" spans="32:62">
      <c r="BJ48" s="5" t="s">
        <v>363</v>
      </c>
    </row>
    <row r="49" spans="35:68">
      <c r="BJ49" s="5">
        <v>0.35</v>
      </c>
      <c r="BK49" s="5">
        <v>0.2</v>
      </c>
      <c r="BL49" s="5">
        <v>0.35</v>
      </c>
      <c r="BM49" s="5">
        <v>0.1</v>
      </c>
      <c r="BN49" s="5">
        <v>1</v>
      </c>
      <c r="BO49" s="5">
        <v>0.8</v>
      </c>
      <c r="BP49" s="5">
        <v>0.8</v>
      </c>
    </row>
    <row r="52" spans="35:68">
      <c r="AJ52" s="5" t="s">
        <v>328</v>
      </c>
      <c r="AK52" s="5" t="s">
        <v>362</v>
      </c>
    </row>
    <row r="53" spans="35:68">
      <c r="AI53" s="5" t="s">
        <v>361</v>
      </c>
      <c r="AJ53" s="5">
        <f>V15/1000-AJ55</f>
        <v>3007.9573875248639</v>
      </c>
      <c r="AK53" s="5">
        <f>('A-synth-prod'!BL56-'A-synth-prod'!BH56)/1000</f>
        <v>690.95138563338764</v>
      </c>
    </row>
    <row r="54" spans="35:68">
      <c r="AI54" s="5" t="s">
        <v>360</v>
      </c>
      <c r="AJ54" s="6">
        <f>AI46</f>
        <v>1469.8688000000002</v>
      </c>
      <c r="AK54" s="6">
        <f>('A-conso'!BQ98)/1000</f>
        <v>130.05368999999999</v>
      </c>
    </row>
    <row r="55" spans="35:68" ht="45">
      <c r="AI55" s="5" t="s">
        <v>359</v>
      </c>
      <c r="AJ55" s="5">
        <f>'A-synth-prod'!CF77/1000</f>
        <v>828.70499999999993</v>
      </c>
      <c r="AK55" s="5">
        <f>('A-analyse-comp'!BR56)/1000</f>
        <v>0</v>
      </c>
      <c r="AO55" s="12" t="s">
        <v>358</v>
      </c>
      <c r="AP55" s="12" t="s">
        <v>357</v>
      </c>
      <c r="AQ55" s="12" t="s">
        <v>356</v>
      </c>
      <c r="AR55" s="12" t="s">
        <v>355</v>
      </c>
      <c r="AS55" s="12" t="s">
        <v>354</v>
      </c>
      <c r="AT55" s="12" t="s">
        <v>353</v>
      </c>
      <c r="AU55" s="12" t="s">
        <v>352</v>
      </c>
      <c r="AW55" s="135" t="s">
        <v>351</v>
      </c>
      <c r="AX55" s="136"/>
      <c r="AY55" s="137"/>
    </row>
    <row r="56" spans="35:68" ht="75">
      <c r="AN56" s="5" t="s">
        <v>350</v>
      </c>
      <c r="AW56" s="12" t="s">
        <v>347</v>
      </c>
      <c r="AX56" s="12" t="str">
        <f t="array" ref="AX56:AY56">TRANSPOSE(AN56:AN57)</f>
        <v>Part de consommation locale / production (%)</v>
      </c>
      <c r="AY56" s="12" t="str">
        <v>Part de production locale / consommation (%)</v>
      </c>
    </row>
    <row r="57" spans="35:68">
      <c r="AN57" s="5" t="s">
        <v>349</v>
      </c>
      <c r="AW57" s="12" t="str">
        <f t="array" ref="AW57:AW63">TRANSPOSE(AO55:AU55)</f>
        <v>KUVC Miel</v>
      </c>
      <c r="AX57" s="10">
        <f>AD12</f>
        <v>275.88275600337158</v>
      </c>
      <c r="AY57" s="10">
        <f>AE12</f>
        <v>36.247281797771329</v>
      </c>
    </row>
    <row r="58" spans="35:68">
      <c r="AW58" s="12" t="str">
        <v xml:space="preserve">KUVC ind. Lait.  </v>
      </c>
      <c r="AX58" s="10">
        <f>AD13</f>
        <v>32.983490566037737</v>
      </c>
      <c r="AY58" s="10">
        <f>AE13</f>
        <v>303.18198069360028</v>
      </c>
    </row>
    <row r="59" spans="35:68">
      <c r="AW59" s="12" t="str">
        <v>KUVC fermiers</v>
      </c>
      <c r="AX59" s="11">
        <v>80</v>
      </c>
      <c r="AY59" s="11">
        <v>120</v>
      </c>
      <c r="BL59" s="5">
        <f t="array" ref="BL59:BL65">TRANSPOSE(BJ49:BP49)</f>
        <v>0.35</v>
      </c>
    </row>
    <row r="60" spans="35:68" ht="30">
      <c r="AW60" s="12" t="str">
        <v>KUVC rest. à emporter</v>
      </c>
      <c r="AX60" s="11">
        <v>100</v>
      </c>
      <c r="AY60" s="11">
        <v>100</v>
      </c>
      <c r="BL60" s="5">
        <v>0.2</v>
      </c>
    </row>
    <row r="61" spans="35:68" ht="30">
      <c r="AW61" s="12" t="str">
        <v>KUVC portage domicile</v>
      </c>
      <c r="AX61" s="11">
        <v>100</v>
      </c>
      <c r="AY61" s="11">
        <v>100</v>
      </c>
      <c r="BL61" s="5">
        <v>0.35</v>
      </c>
    </row>
    <row r="62" spans="35:68">
      <c r="AW62" s="12" t="str">
        <v>KUVC bière</v>
      </c>
      <c r="AX62" s="10">
        <f>AD11</f>
        <v>1428.2103135201319</v>
      </c>
      <c r="AY62" s="10">
        <f>AE11</f>
        <v>7.0017699111504434</v>
      </c>
      <c r="BL62" s="5">
        <v>0.1</v>
      </c>
    </row>
    <row r="63" spans="35:68">
      <c r="AW63" s="12" t="str">
        <v>KUVC cidricole</v>
      </c>
      <c r="AX63" s="10">
        <f>AD10</f>
        <v>2.8847527865104317</v>
      </c>
      <c r="AY63" s="10">
        <f>AE10</f>
        <v>3466.501547987616</v>
      </c>
      <c r="BL63" s="5">
        <v>1</v>
      </c>
    </row>
    <row r="64" spans="35:68" ht="42.75" customHeight="1">
      <c r="AW64" s="12"/>
      <c r="BA64" s="135" t="s">
        <v>348</v>
      </c>
      <c r="BB64" s="136"/>
      <c r="BC64" s="136"/>
      <c r="BD64" s="136"/>
      <c r="BE64" s="136"/>
      <c r="BF64" s="137"/>
      <c r="BL64" s="5">
        <v>0.8</v>
      </c>
    </row>
    <row r="65" spans="53:80" ht="105">
      <c r="BA65" s="12" t="s">
        <v>347</v>
      </c>
      <c r="BB65" s="12" t="s">
        <v>346</v>
      </c>
      <c r="BC65" s="12" t="s">
        <v>345</v>
      </c>
      <c r="BD65" s="12" t="s">
        <v>344</v>
      </c>
      <c r="BE65" s="12" t="s">
        <v>343</v>
      </c>
      <c r="BF65" s="12" t="s">
        <v>342</v>
      </c>
      <c r="BL65" s="5">
        <v>0.8</v>
      </c>
    </row>
    <row r="66" spans="53:80" ht="30">
      <c r="BA66" s="12" t="s">
        <v>341</v>
      </c>
      <c r="BB66" s="41">
        <f>AC12</f>
        <v>1.2686548629219965</v>
      </c>
      <c r="BC66" s="41">
        <f t="shared" ref="BC66:BC72" si="0">BB66*BL59</f>
        <v>0.44402920202269874</v>
      </c>
      <c r="BD66" s="41">
        <f t="shared" ref="BD66:BD72" si="1">(BC66/$BC$73)*100</f>
        <v>6.493487977051679E-2</v>
      </c>
      <c r="BE66" s="41">
        <f>(BC66/$BD$78)*100</f>
        <v>1.2613359545467631</v>
      </c>
      <c r="BF66" s="42" t="s">
        <v>340</v>
      </c>
    </row>
    <row r="67" spans="53:80" ht="30">
      <c r="BA67" s="12" t="s">
        <v>339</v>
      </c>
      <c r="BB67" s="41">
        <f>J15/1000</f>
        <v>2828.6666666666661</v>
      </c>
      <c r="BC67" s="41">
        <f t="shared" si="0"/>
        <v>565.73333333333323</v>
      </c>
      <c r="BD67" s="41">
        <f t="shared" si="1"/>
        <v>82.732905436917093</v>
      </c>
      <c r="BE67" s="40"/>
      <c r="BF67" s="42" t="s">
        <v>338</v>
      </c>
    </row>
    <row r="68" spans="53:80" ht="45">
      <c r="BA68" s="12" t="s">
        <v>337</v>
      </c>
      <c r="BB68" s="41">
        <f>(0.8*L15)/1000</f>
        <v>34.566452796780688</v>
      </c>
      <c r="BC68" s="41">
        <f t="shared" si="0"/>
        <v>12.098258478873239</v>
      </c>
      <c r="BD68" s="41">
        <f t="shared" si="1"/>
        <v>1.769250662297903</v>
      </c>
      <c r="BE68" s="41">
        <f>(BC68/$BD$78)*100</f>
        <v>34.367037882393504</v>
      </c>
      <c r="BF68" s="42" t="s">
        <v>336</v>
      </c>
    </row>
    <row r="69" spans="53:80" ht="30">
      <c r="BA69" s="12" t="s">
        <v>335</v>
      </c>
      <c r="BB69" s="41">
        <f>N15/1000</f>
        <v>828.70499999999993</v>
      </c>
      <c r="BC69" s="41">
        <f t="shared" si="0"/>
        <v>82.870499999999993</v>
      </c>
      <c r="BD69" s="41">
        <f t="shared" si="1"/>
        <v>12.118991114795024</v>
      </c>
      <c r="BE69" s="40"/>
      <c r="BF69" s="42" t="s">
        <v>333</v>
      </c>
    </row>
    <row r="70" spans="53:80" ht="45">
      <c r="BA70" s="12" t="s">
        <v>334</v>
      </c>
      <c r="BB70" s="43">
        <f>P15/1000</f>
        <v>9</v>
      </c>
      <c r="BC70" s="41">
        <f t="shared" si="0"/>
        <v>9</v>
      </c>
      <c r="BD70" s="41">
        <f t="shared" si="1"/>
        <v>1.3161609985839984</v>
      </c>
      <c r="BE70" s="41">
        <f>(BC70/$BD$78)*100</f>
        <v>25.56593922023298</v>
      </c>
      <c r="BF70" s="42" t="s">
        <v>333</v>
      </c>
    </row>
    <row r="71" spans="53:80" ht="30">
      <c r="BA71" s="12" t="s">
        <v>332</v>
      </c>
      <c r="BB71" s="41">
        <f>R15/1000</f>
        <v>13.845999999300002</v>
      </c>
      <c r="BC71" s="41">
        <f t="shared" si="0"/>
        <v>11.076799999440002</v>
      </c>
      <c r="BD71" s="41">
        <f t="shared" si="1"/>
        <v>1.6198724609309094</v>
      </c>
      <c r="BE71" s="41">
        <f>(BC71/$BD$78)*100</f>
        <v>31.465421726706644</v>
      </c>
      <c r="BF71" s="42" t="s">
        <v>331</v>
      </c>
    </row>
    <row r="72" spans="53:80" ht="30">
      <c r="BA72" s="12" t="s">
        <v>330</v>
      </c>
      <c r="BB72" s="41">
        <f>AB10</f>
        <v>3.23</v>
      </c>
      <c r="BC72" s="41">
        <f t="shared" si="0"/>
        <v>2.5840000000000001</v>
      </c>
      <c r="BD72" s="41">
        <f t="shared" si="1"/>
        <v>0.37788444670456128</v>
      </c>
      <c r="BE72" s="41">
        <f>(BC72/$BD$78)*100</f>
        <v>7.3402652161202244</v>
      </c>
      <c r="BF72" s="42" t="s">
        <v>329</v>
      </c>
    </row>
    <row r="73" spans="53:80" ht="30">
      <c r="BA73" s="12" t="s">
        <v>328</v>
      </c>
      <c r="BB73" s="41">
        <f>SUM(BB66:BB72)</f>
        <v>3719.2827743256689</v>
      </c>
      <c r="BC73" s="41">
        <f>SUM(BC66:BC72)</f>
        <v>683.80692101366913</v>
      </c>
      <c r="BD73" s="40"/>
      <c r="BE73" s="40"/>
      <c r="BF73" s="39"/>
    </row>
    <row r="75" spans="53:80">
      <c r="BS75" s="12"/>
      <c r="BT75" s="136" t="s">
        <v>327</v>
      </c>
      <c r="BU75" s="136"/>
      <c r="BV75" s="136"/>
      <c r="BW75" s="136"/>
      <c r="BX75" s="136"/>
      <c r="BY75" s="136"/>
      <c r="BZ75" s="136"/>
      <c r="CA75" s="136"/>
      <c r="CB75" s="137"/>
    </row>
    <row r="76" spans="53:80" ht="90">
      <c r="BS76" s="12" t="s">
        <v>145</v>
      </c>
      <c r="BT76" s="12" t="s">
        <v>326</v>
      </c>
      <c r="BU76" s="12" t="s">
        <v>325</v>
      </c>
      <c r="BV76" s="12" t="s">
        <v>324</v>
      </c>
      <c r="BW76" s="12" t="s">
        <v>323</v>
      </c>
      <c r="BX76" s="12" t="s">
        <v>322</v>
      </c>
      <c r="BY76" s="12" t="s">
        <v>321</v>
      </c>
      <c r="BZ76" s="12" t="s">
        <v>320</v>
      </c>
      <c r="CA76" s="12" t="s">
        <v>319</v>
      </c>
      <c r="CB76" s="12" t="s">
        <v>318</v>
      </c>
    </row>
    <row r="77" spans="53:80">
      <c r="BS77" s="11" t="s">
        <v>181</v>
      </c>
      <c r="BT77" s="10">
        <v>97.422628702639713</v>
      </c>
      <c r="BU77" s="10">
        <v>51936.872180451122</v>
      </c>
      <c r="BV77" s="10">
        <v>2398.3485839283276</v>
      </c>
      <c r="BW77" s="10">
        <v>17110.298426382717</v>
      </c>
      <c r="BX77" s="10">
        <v>1214.7387793387309</v>
      </c>
      <c r="BY77" s="10">
        <v>1417.566666595</v>
      </c>
      <c r="BZ77" s="10">
        <v>746.21370144462287</v>
      </c>
      <c r="CA77" s="10">
        <f>SUM(BT77:BZ77)</f>
        <v>74921.460966843166</v>
      </c>
      <c r="CB77" s="10">
        <v>26.089032722302186</v>
      </c>
    </row>
    <row r="78" spans="53:80">
      <c r="BD78" s="6">
        <f>BC73-BC67-BC69</f>
        <v>35.203087680335898</v>
      </c>
      <c r="BE78" s="6">
        <f>SUM(BE66:BE72)</f>
        <v>100.00000000000011</v>
      </c>
      <c r="BS78" s="11" t="s">
        <v>205</v>
      </c>
      <c r="BT78" s="10">
        <v>84.756941905852528</v>
      </c>
      <c r="BU78" s="10">
        <v>9825.8947368421068</v>
      </c>
      <c r="BV78" s="10">
        <v>1697.748716344167</v>
      </c>
      <c r="BW78" s="10">
        <v>11991.200321630997</v>
      </c>
      <c r="BX78" s="10">
        <v>1575.862484953645</v>
      </c>
      <c r="BY78" s="10">
        <v>5274.6666664000013</v>
      </c>
      <c r="BZ78" s="10">
        <v>286.83937078651678</v>
      </c>
      <c r="CA78" s="10">
        <f>SUM(BT78:BZ78)</f>
        <v>30736.969238863287</v>
      </c>
      <c r="CB78" s="10">
        <v>7.6945937278684289</v>
      </c>
    </row>
    <row r="79" spans="53:80">
      <c r="BS79" s="11" t="s">
        <v>200</v>
      </c>
      <c r="BT79" s="10">
        <v>79.670060805714257</v>
      </c>
      <c r="BU79" s="10">
        <v>60359.067669172939</v>
      </c>
      <c r="BV79" s="10">
        <v>3968.09816089164</v>
      </c>
      <c r="BW79" s="10">
        <v>10979.183138704278</v>
      </c>
      <c r="BX79" s="10">
        <v>1881.7615169382759</v>
      </c>
      <c r="BY79" s="10">
        <v>1813.1666665750004</v>
      </c>
      <c r="BZ79" s="10">
        <v>690.13983948635632</v>
      </c>
      <c r="CA79" s="10">
        <f>SUM(BT79:BZ79)</f>
        <v>79771.087052574192</v>
      </c>
      <c r="CB79" s="10">
        <v>27.931220051545974</v>
      </c>
    </row>
    <row r="80" spans="53:80">
      <c r="BS80" s="11" t="s">
        <v>272</v>
      </c>
      <c r="BT80" s="10">
        <v>97.422628702639713</v>
      </c>
      <c r="BU80" s="10">
        <v>36496.180451127817</v>
      </c>
      <c r="BV80" s="10">
        <v>1700.0294800701226</v>
      </c>
      <c r="BW80" s="10">
        <v>4046.4875588187265</v>
      </c>
      <c r="BX80" s="10">
        <v>1095.4058729277217</v>
      </c>
      <c r="BY80" s="10">
        <v>560.43333330499991</v>
      </c>
      <c r="BZ80" s="10">
        <v>785.03406741573031</v>
      </c>
      <c r="CA80" s="10">
        <f>SUM(BT80:BZ80)</f>
        <v>44780.99339236776</v>
      </c>
      <c r="CB80" s="10">
        <v>16.532413519156272</v>
      </c>
    </row>
    <row r="81" spans="71:80">
      <c r="BS81" s="11" t="s">
        <v>271</v>
      </c>
      <c r="BT81" s="10">
        <v>84.756941905852528</v>
      </c>
      <c r="BU81" s="10">
        <v>28073.984962406015</v>
      </c>
      <c r="BV81" s="10">
        <v>2334.0335376389817</v>
      </c>
      <c r="BW81" s="10">
        <v>38743.330554463275</v>
      </c>
      <c r="BX81" s="10">
        <v>3232.2313458416256</v>
      </c>
      <c r="BY81" s="10">
        <v>2010.966666565</v>
      </c>
      <c r="BZ81" s="10">
        <v>179.00502086677366</v>
      </c>
      <c r="CA81" s="10">
        <f>SUM(BT81:BZ81)</f>
        <v>74658.309029687516</v>
      </c>
      <c r="CB81" s="10">
        <v>21.752739979127153</v>
      </c>
    </row>
    <row r="82" spans="71:80">
      <c r="BS82" s="9" t="s">
        <v>230</v>
      </c>
      <c r="BT82" s="8">
        <f t="shared" ref="BT82:CA82" si="2">SUM(BT77:BT81)</f>
        <v>444.02920202269877</v>
      </c>
      <c r="BU82" s="8">
        <f t="shared" si="2"/>
        <v>186692</v>
      </c>
      <c r="BV82" s="8">
        <f t="shared" si="2"/>
        <v>12098.258478873238</v>
      </c>
      <c r="BW82" s="8">
        <f t="shared" si="2"/>
        <v>82870.5</v>
      </c>
      <c r="BX82" s="8">
        <f t="shared" si="2"/>
        <v>9000</v>
      </c>
      <c r="BY82" s="8">
        <f t="shared" si="2"/>
        <v>11076.799999440002</v>
      </c>
      <c r="BZ82" s="8">
        <f t="shared" si="2"/>
        <v>2687.232</v>
      </c>
      <c r="CA82" s="8">
        <f t="shared" si="2"/>
        <v>304868.81968033593</v>
      </c>
      <c r="CB82" s="37"/>
    </row>
    <row r="83" spans="71:80">
      <c r="BS83" s="9" t="s">
        <v>317</v>
      </c>
      <c r="BT83" s="38">
        <f t="shared" ref="BT83:BZ83" si="3">(BT82/$CA$82)*100</f>
        <v>0.14564598717844501</v>
      </c>
      <c r="BU83" s="38">
        <f t="shared" si="3"/>
        <v>61.236829727537291</v>
      </c>
      <c r="BV83" s="38">
        <f t="shared" si="3"/>
        <v>3.9683489087400359</v>
      </c>
      <c r="BW83" s="38">
        <f t="shared" si="3"/>
        <v>27.182346849012699</v>
      </c>
      <c r="BX83" s="38">
        <f t="shared" si="3"/>
        <v>2.9520893640211447</v>
      </c>
      <c r="BY83" s="38">
        <f t="shared" si="3"/>
        <v>3.6333003850818058</v>
      </c>
      <c r="BZ83" s="38">
        <f t="shared" si="3"/>
        <v>0.88143877842858553</v>
      </c>
      <c r="CA83" s="37"/>
      <c r="CB83" s="36"/>
    </row>
    <row r="91" spans="71:80">
      <c r="CA91" s="6">
        <f>SUM(BT82:BZ82)</f>
        <v>304868.81968033599</v>
      </c>
    </row>
  </sheetData>
  <sheetProtection sheet="1" objects="1" scenarios="1"/>
  <mergeCells count="7">
    <mergeCell ref="BT75:CB75"/>
    <mergeCell ref="AW55:AY55"/>
    <mergeCell ref="H8:W8"/>
    <mergeCell ref="AA8:AD8"/>
    <mergeCell ref="AF28:AJ28"/>
    <mergeCell ref="AF47:AJ47"/>
    <mergeCell ref="BA64:BF64"/>
  </mergeCells>
  <pageMargins left="0.7" right="0.7" top="0.75" bottom="0.75" header="0.3" footer="0.3"/>
  <pageSetup paperSize="9" orientation="portrait" horizontalDpi="1200" verticalDpi="1200" r:id="rId1"/>
  <drawing r:id="rId2"/>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B81C1-92C7-4DAC-BBBD-ED3EB4A6F373}">
  <sheetPr codeName="Feuil18"/>
  <dimension ref="D5:DN107"/>
  <sheetViews>
    <sheetView zoomScale="70" zoomScaleNormal="70" workbookViewId="0">
      <selection activeCell="BD45" sqref="BD45"/>
    </sheetView>
  </sheetViews>
  <sheetFormatPr baseColWidth="10" defaultRowHeight="15"/>
  <cols>
    <col min="1" max="21" width="11" style="5"/>
    <col min="22" max="22" width="11.375" style="5" customWidth="1"/>
    <col min="23" max="23" width="11" style="5"/>
    <col min="24" max="24" width="12" style="5" customWidth="1"/>
    <col min="25" max="25" width="12.375" style="5" customWidth="1"/>
    <col min="26" max="26" width="11.375" style="5" customWidth="1"/>
    <col min="27" max="35" width="11.625" style="5" customWidth="1"/>
    <col min="36" max="36" width="13.75" style="5" customWidth="1"/>
    <col min="37" max="39" width="11.625" style="5" customWidth="1"/>
    <col min="40" max="40" width="11.25" style="5" customWidth="1"/>
    <col min="41" max="44" width="11" style="5"/>
    <col min="45" max="45" width="12.25" style="5" customWidth="1"/>
    <col min="46" max="55" width="11" style="5"/>
    <col min="56" max="56" width="11.625" style="5" bestFit="1" customWidth="1"/>
    <col min="57" max="91" width="11" style="5"/>
    <col min="92" max="92" width="14.75" style="5" bestFit="1" customWidth="1"/>
    <col min="93" max="98" width="11" style="5"/>
    <col min="99" max="99" width="13.75" style="5" bestFit="1" customWidth="1"/>
    <col min="100" max="16384" width="11" style="5"/>
  </cols>
  <sheetData>
    <row r="5" spans="4:46">
      <c r="M5" s="132" t="s">
        <v>436</v>
      </c>
      <c r="N5" s="133"/>
      <c r="O5" s="133"/>
      <c r="P5" s="133"/>
      <c r="Q5" s="133"/>
      <c r="R5" s="133"/>
      <c r="S5" s="177"/>
      <c r="T5" s="56"/>
      <c r="U5" s="156" t="s">
        <v>435</v>
      </c>
      <c r="V5" s="157"/>
      <c r="W5" s="157"/>
      <c r="X5" s="157"/>
      <c r="Y5" s="157"/>
      <c r="Z5" s="157"/>
      <c r="AA5" s="157"/>
      <c r="AB5" s="178"/>
      <c r="AC5" s="135" t="s">
        <v>434</v>
      </c>
      <c r="AD5" s="136"/>
      <c r="AE5" s="136"/>
      <c r="AF5" s="136"/>
      <c r="AG5" s="136"/>
      <c r="AH5" s="136"/>
      <c r="AI5" s="136"/>
      <c r="AJ5" s="137"/>
    </row>
    <row r="6" spans="4:46" ht="60">
      <c r="D6" s="20" t="s">
        <v>229</v>
      </c>
      <c r="E6" s="20" t="s">
        <v>228</v>
      </c>
      <c r="F6" s="20" t="s">
        <v>227</v>
      </c>
      <c r="G6" s="20" t="s">
        <v>433</v>
      </c>
      <c r="H6" s="20" t="s">
        <v>225</v>
      </c>
      <c r="I6" s="20" t="s">
        <v>432</v>
      </c>
      <c r="J6" s="20" t="s">
        <v>224</v>
      </c>
      <c r="K6" s="20" t="s">
        <v>223</v>
      </c>
      <c r="L6" s="20" t="s">
        <v>222</v>
      </c>
      <c r="M6" s="12" t="s">
        <v>358</v>
      </c>
      <c r="N6" s="12" t="s">
        <v>357</v>
      </c>
      <c r="O6" s="12" t="s">
        <v>356</v>
      </c>
      <c r="P6" s="12" t="s">
        <v>355</v>
      </c>
      <c r="Q6" s="12" t="s">
        <v>354</v>
      </c>
      <c r="R6" s="12" t="s">
        <v>353</v>
      </c>
      <c r="S6" s="12" t="s">
        <v>352</v>
      </c>
      <c r="T6" s="12" t="s">
        <v>431</v>
      </c>
      <c r="U6" s="12" t="s">
        <v>430</v>
      </c>
      <c r="V6" s="12" t="s">
        <v>429</v>
      </c>
      <c r="W6" s="12" t="s">
        <v>428</v>
      </c>
      <c r="X6" s="12" t="s">
        <v>427</v>
      </c>
      <c r="Y6" s="12" t="s">
        <v>426</v>
      </c>
      <c r="Z6" s="12" t="s">
        <v>425</v>
      </c>
      <c r="AA6" s="12" t="s">
        <v>424</v>
      </c>
      <c r="AB6" s="55" t="s">
        <v>423</v>
      </c>
      <c r="AC6" s="12" t="s">
        <v>358</v>
      </c>
      <c r="AD6" s="12" t="s">
        <v>357</v>
      </c>
      <c r="AE6" s="12" t="s">
        <v>356</v>
      </c>
      <c r="AF6" s="12" t="s">
        <v>355</v>
      </c>
      <c r="AG6" s="12" t="s">
        <v>354</v>
      </c>
      <c r="AH6" s="12" t="s">
        <v>353</v>
      </c>
      <c r="AI6" s="12" t="s">
        <v>352</v>
      </c>
      <c r="AJ6" s="55" t="s">
        <v>412</v>
      </c>
      <c r="AN6" s="161" t="s">
        <v>363</v>
      </c>
      <c r="AO6" s="161"/>
      <c r="AP6" s="161"/>
      <c r="AQ6" s="161"/>
      <c r="AR6" s="161"/>
      <c r="AS6" s="161"/>
      <c r="AT6" s="161"/>
    </row>
    <row r="7" spans="4:46">
      <c r="D7" s="20">
        <v>28</v>
      </c>
      <c r="E7" s="21" t="s">
        <v>192</v>
      </c>
      <c r="F7" s="20">
        <v>14</v>
      </c>
      <c r="G7" s="21" t="s">
        <v>181</v>
      </c>
      <c r="H7" s="20">
        <v>1</v>
      </c>
      <c r="I7" s="21" t="s">
        <v>211</v>
      </c>
      <c r="J7" s="29">
        <v>123</v>
      </c>
      <c r="K7" s="29">
        <v>73516</v>
      </c>
      <c r="L7" s="29">
        <v>74932</v>
      </c>
      <c r="M7" s="6">
        <f>'A-Demande-Miel'!X7</f>
        <v>6.1855637271517283</v>
      </c>
      <c r="N7" s="6">
        <f>'A-Demande-Ind-lait'!S7</f>
        <v>340290.72681704257</v>
      </c>
      <c r="O7" s="6">
        <f>'A-Demande-fermiers'!AB7</f>
        <v>1822.5843850461747</v>
      </c>
      <c r="P7" s="6">
        <f>'A-Demande-CHR-traiteur'!R7</f>
        <v>11730.737312454727</v>
      </c>
      <c r="Q7" s="6">
        <f>'A-Portage'!T7</f>
        <v>286.71663960758576</v>
      </c>
      <c r="R7" s="6">
        <f>'A-Demande-bière'!S7</f>
        <v>82.416666662499992</v>
      </c>
      <c r="S7" s="6">
        <f>'A-Demande-cidre'!O7</f>
        <v>4762.6837881219908</v>
      </c>
      <c r="T7" s="6">
        <f t="shared" ref="T7:T23" si="0">SUM(M7:S7)</f>
        <v>358982.05117266264</v>
      </c>
      <c r="U7" s="6">
        <f t="shared" ref="U7:U23" si="1">M7*AN$7</f>
        <v>2.1649473045031047</v>
      </c>
      <c r="V7" s="6">
        <f t="shared" ref="V7:V23" si="2">N7*AO$7</f>
        <v>68058.145363408519</v>
      </c>
      <c r="W7" s="6">
        <f t="shared" ref="W7:W23" si="3">O7*AP$7</f>
        <v>637.90453476616108</v>
      </c>
      <c r="X7" s="6">
        <f t="shared" ref="X7:X23" si="4">P7*AQ$7</f>
        <v>1173.0737312454728</v>
      </c>
      <c r="Y7" s="6">
        <f t="shared" ref="Y7:Y23" si="5">Q7*AR$7</f>
        <v>286.71663960758576</v>
      </c>
      <c r="Z7" s="6">
        <f t="shared" ref="Z7:Z23" si="6">R7*AS$7</f>
        <v>65.933333329999996</v>
      </c>
      <c r="AA7" s="6">
        <f t="shared" ref="AA7:AA23" si="7">S7*AT$7</f>
        <v>3810.1470304975928</v>
      </c>
      <c r="AB7" s="6">
        <f t="shared" ref="AB7:AB23" si="8">SUM(U7:AA7)</f>
        <v>74034.085580159837</v>
      </c>
      <c r="AC7" s="6">
        <f t="shared" ref="AC7:AC23" si="9">U7*0.1</f>
        <v>0.21649473045031048</v>
      </c>
      <c r="AD7" s="6">
        <f t="shared" ref="AD7:AD23" si="10">V7*0.1</f>
        <v>6805.8145363408521</v>
      </c>
      <c r="AE7" s="6">
        <f t="shared" ref="AE7:AE23" si="11">W7*0.1</f>
        <v>63.790453476616108</v>
      </c>
      <c r="AF7" s="6">
        <f t="shared" ref="AF7:AF23" si="12">X7*0.1</f>
        <v>117.30737312454728</v>
      </c>
      <c r="AG7" s="6">
        <f t="shared" ref="AG7:AG23" si="13">Y7</f>
        <v>286.71663960758576</v>
      </c>
      <c r="AH7" s="6">
        <f t="shared" ref="AH7:AH23" si="14">Z7*0.1</f>
        <v>6.5933333330000004</v>
      </c>
      <c r="AI7" s="6">
        <f t="shared" ref="AI7:AI23" si="15">AA7*0.1</f>
        <v>381.01470304975931</v>
      </c>
      <c r="AJ7" s="6">
        <f t="shared" ref="AJ7:AJ23" si="16">SUM(AC7:AI7)</f>
        <v>7661.4535336628105</v>
      </c>
      <c r="AK7" s="6"/>
      <c r="AL7" s="6"/>
      <c r="AM7" s="6"/>
      <c r="AN7" s="5">
        <v>0.35</v>
      </c>
      <c r="AO7" s="5">
        <v>0.2</v>
      </c>
      <c r="AP7" s="5">
        <v>0.35</v>
      </c>
      <c r="AQ7" s="5">
        <v>0.1</v>
      </c>
      <c r="AR7" s="5">
        <v>1</v>
      </c>
      <c r="AS7" s="5">
        <v>0.8</v>
      </c>
      <c r="AT7" s="5">
        <v>0.8</v>
      </c>
    </row>
    <row r="8" spans="4:46">
      <c r="D8" s="20">
        <v>28</v>
      </c>
      <c r="E8" s="21" t="s">
        <v>192</v>
      </c>
      <c r="F8" s="20">
        <v>14</v>
      </c>
      <c r="G8" s="21" t="s">
        <v>181</v>
      </c>
      <c r="H8" s="20">
        <v>2</v>
      </c>
      <c r="I8" s="21" t="s">
        <v>210</v>
      </c>
      <c r="J8" s="29">
        <v>201</v>
      </c>
      <c r="K8" s="29">
        <v>393027</v>
      </c>
      <c r="L8" s="29">
        <v>399850</v>
      </c>
      <c r="M8" s="6">
        <f>'A-Demande-Miel'!X8</f>
        <v>12.371127454303457</v>
      </c>
      <c r="N8" s="6">
        <f>'A-Demande-Ind-lait'!S8</f>
        <v>53170.426065162894</v>
      </c>
      <c r="O8" s="6">
        <f>'A-Demande-fermiers'!AB8</f>
        <v>2460.1809433972671</v>
      </c>
      <c r="P8" s="6">
        <f>'A-Demande-CHR-traiteur'!R8</f>
        <v>125194.45135282716</v>
      </c>
      <c r="Q8" s="6">
        <f>'A-Portage'!T8</f>
        <v>71.67915990189644</v>
      </c>
      <c r="R8" s="6">
        <f>'A-Demande-bière'!S8</f>
        <v>1030.2083332812499</v>
      </c>
      <c r="S8" s="6">
        <f>'A-Demande-cidre'!O8</f>
        <v>4493.0979133226328</v>
      </c>
      <c r="T8" s="6">
        <f t="shared" si="0"/>
        <v>186432.41489534738</v>
      </c>
      <c r="U8" s="6">
        <f t="shared" si="1"/>
        <v>4.3298946090062094</v>
      </c>
      <c r="V8" s="6">
        <f t="shared" si="2"/>
        <v>10634.08521303258</v>
      </c>
      <c r="W8" s="6">
        <f t="shared" si="3"/>
        <v>861.06333018904343</v>
      </c>
      <c r="X8" s="6">
        <f t="shared" si="4"/>
        <v>12519.445135282716</v>
      </c>
      <c r="Y8" s="6">
        <f t="shared" si="5"/>
        <v>71.67915990189644</v>
      </c>
      <c r="Z8" s="6">
        <f t="shared" si="6"/>
        <v>824.16666662499995</v>
      </c>
      <c r="AA8" s="6">
        <f t="shared" si="7"/>
        <v>3594.4783306581066</v>
      </c>
      <c r="AB8" s="6">
        <f t="shared" si="8"/>
        <v>28509.247730298346</v>
      </c>
      <c r="AC8" s="6">
        <f t="shared" si="9"/>
        <v>0.43298946090062096</v>
      </c>
      <c r="AD8" s="6">
        <f t="shared" si="10"/>
        <v>1063.4085213032581</v>
      </c>
      <c r="AE8" s="6">
        <f t="shared" si="11"/>
        <v>86.106333018904351</v>
      </c>
      <c r="AF8" s="6">
        <f t="shared" si="12"/>
        <v>1251.9445135282717</v>
      </c>
      <c r="AG8" s="6">
        <f t="shared" si="13"/>
        <v>71.67915990189644</v>
      </c>
      <c r="AH8" s="6">
        <f t="shared" si="14"/>
        <v>82.416666662500006</v>
      </c>
      <c r="AI8" s="6">
        <f t="shared" si="15"/>
        <v>359.4478330658107</v>
      </c>
      <c r="AJ8" s="6">
        <f t="shared" si="16"/>
        <v>2915.4360169415422</v>
      </c>
      <c r="AK8" s="6"/>
      <c r="AL8" s="6"/>
      <c r="AM8" s="6"/>
    </row>
    <row r="9" spans="4:46">
      <c r="D9" s="20">
        <v>28</v>
      </c>
      <c r="E9" s="21" t="s">
        <v>192</v>
      </c>
      <c r="F9" s="20">
        <v>14</v>
      </c>
      <c r="G9" s="21" t="s">
        <v>181</v>
      </c>
      <c r="H9" s="20">
        <v>3</v>
      </c>
      <c r="I9" s="21" t="s">
        <v>209</v>
      </c>
      <c r="J9" s="29">
        <v>160</v>
      </c>
      <c r="K9" s="29">
        <v>159810</v>
      </c>
      <c r="L9" s="29">
        <v>163468</v>
      </c>
      <c r="M9" s="6">
        <f>'A-Demande-Miel'!X9</f>
        <v>86.597892180124177</v>
      </c>
      <c r="N9" s="6">
        <f>'A-Demande-Ind-lait'!S9</f>
        <v>340290.72681704257</v>
      </c>
      <c r="O9" s="6">
        <f>'A-Demande-fermiers'!AB9</f>
        <v>2587.7002550674861</v>
      </c>
      <c r="P9" s="6">
        <f>'A-Demande-CHR-traiteur'!R9</f>
        <v>25591.204919024567</v>
      </c>
      <c r="Q9" s="6">
        <f>'A-Portage'!T9</f>
        <v>625.48705017045882</v>
      </c>
      <c r="R9" s="6">
        <f>'A-Demande-bière'!S9</f>
        <v>329.66666664999997</v>
      </c>
      <c r="S9" s="6">
        <f>'A-Demande-cidre'!O9</f>
        <v>17433.219903691814</v>
      </c>
      <c r="T9" s="6">
        <f t="shared" si="0"/>
        <v>386944.60350382701</v>
      </c>
      <c r="U9" s="6">
        <f t="shared" si="1"/>
        <v>30.309262263043461</v>
      </c>
      <c r="V9" s="6">
        <f t="shared" si="2"/>
        <v>68058.145363408519</v>
      </c>
      <c r="W9" s="6">
        <f t="shared" si="3"/>
        <v>905.69508927362006</v>
      </c>
      <c r="X9" s="6">
        <f t="shared" si="4"/>
        <v>2559.1204919024567</v>
      </c>
      <c r="Y9" s="6">
        <f t="shared" si="5"/>
        <v>625.48705017045882</v>
      </c>
      <c r="Z9" s="6">
        <f t="shared" si="6"/>
        <v>263.73333331999999</v>
      </c>
      <c r="AA9" s="6">
        <f t="shared" si="7"/>
        <v>13946.575922953452</v>
      </c>
      <c r="AB9" s="6">
        <f t="shared" si="8"/>
        <v>86389.06651329156</v>
      </c>
      <c r="AC9" s="6">
        <f t="shared" si="9"/>
        <v>3.0309262263043464</v>
      </c>
      <c r="AD9" s="6">
        <f t="shared" si="10"/>
        <v>6805.8145363408521</v>
      </c>
      <c r="AE9" s="6">
        <f t="shared" si="11"/>
        <v>90.569508927362008</v>
      </c>
      <c r="AF9" s="6">
        <f t="shared" si="12"/>
        <v>255.91204919024568</v>
      </c>
      <c r="AG9" s="6">
        <f t="shared" si="13"/>
        <v>625.48705017045882</v>
      </c>
      <c r="AH9" s="6">
        <f t="shared" si="14"/>
        <v>26.373333332000001</v>
      </c>
      <c r="AI9" s="6">
        <f t="shared" si="15"/>
        <v>1394.6575922953452</v>
      </c>
      <c r="AJ9" s="6">
        <f t="shared" si="16"/>
        <v>9201.8449964825686</v>
      </c>
      <c r="AK9" s="6"/>
      <c r="AL9" s="6"/>
      <c r="AM9" s="6"/>
      <c r="AN9" s="5" t="s">
        <v>422</v>
      </c>
      <c r="AO9" s="5" t="s">
        <v>421</v>
      </c>
      <c r="AP9" s="5" t="s">
        <v>420</v>
      </c>
      <c r="AQ9" s="5" t="s">
        <v>419</v>
      </c>
    </row>
    <row r="10" spans="4:46">
      <c r="D10" s="20">
        <v>28</v>
      </c>
      <c r="E10" s="21" t="s">
        <v>192</v>
      </c>
      <c r="F10" s="20">
        <v>14</v>
      </c>
      <c r="G10" s="21" t="s">
        <v>181</v>
      </c>
      <c r="H10" s="20">
        <v>4</v>
      </c>
      <c r="I10" s="21" t="s">
        <v>208</v>
      </c>
      <c r="J10" s="29">
        <v>44</v>
      </c>
      <c r="K10" s="29">
        <v>71194</v>
      </c>
      <c r="L10" s="29">
        <v>73131</v>
      </c>
      <c r="M10" s="6">
        <f>'A-Demande-Miel'!X10</f>
        <v>173.19578436024835</v>
      </c>
      <c r="N10" s="6">
        <f>'A-Demande-Ind-lait'!S10</f>
        <v>53170.426065162894</v>
      </c>
      <c r="O10" s="6">
        <f>'A-Demande-fermiers'!AB10</f>
        <v>1695.0650733759558</v>
      </c>
      <c r="P10" s="6">
        <f>'A-Demande-CHR-traiteur'!R10</f>
        <v>8586.5906795206974</v>
      </c>
      <c r="Q10" s="6">
        <f>'A-Portage'!T10</f>
        <v>230.85592965878979</v>
      </c>
      <c r="R10" s="6">
        <f>'A-Demande-bière'!S10</f>
        <v>329.66666664999997</v>
      </c>
      <c r="S10" s="6">
        <f>'A-Demande-cidre'!O10</f>
        <v>4403.2359550561796</v>
      </c>
      <c r="T10" s="6">
        <f t="shared" si="0"/>
        <v>68589.036153784764</v>
      </c>
      <c r="U10" s="6">
        <f t="shared" si="1"/>
        <v>60.618524526086922</v>
      </c>
      <c r="V10" s="6">
        <f t="shared" si="2"/>
        <v>10634.08521303258</v>
      </c>
      <c r="W10" s="6">
        <f t="shared" si="3"/>
        <v>593.27277568158445</v>
      </c>
      <c r="X10" s="6">
        <f t="shared" si="4"/>
        <v>858.65906795206979</v>
      </c>
      <c r="Y10" s="6">
        <f t="shared" si="5"/>
        <v>230.85592965878979</v>
      </c>
      <c r="Z10" s="6">
        <f t="shared" si="6"/>
        <v>263.73333331999999</v>
      </c>
      <c r="AA10" s="6">
        <f t="shared" si="7"/>
        <v>3522.5887640449437</v>
      </c>
      <c r="AB10" s="6">
        <f t="shared" si="8"/>
        <v>16163.813608216056</v>
      </c>
      <c r="AC10" s="6">
        <f t="shared" si="9"/>
        <v>6.0618524526086928</v>
      </c>
      <c r="AD10" s="6">
        <f t="shared" si="10"/>
        <v>1063.4085213032581</v>
      </c>
      <c r="AE10" s="6">
        <f t="shared" si="11"/>
        <v>59.327277568158451</v>
      </c>
      <c r="AF10" s="6">
        <f t="shared" si="12"/>
        <v>85.865906795206982</v>
      </c>
      <c r="AG10" s="6">
        <f t="shared" si="13"/>
        <v>230.85592965878979</v>
      </c>
      <c r="AH10" s="6">
        <f t="shared" si="14"/>
        <v>26.373333332000001</v>
      </c>
      <c r="AI10" s="6">
        <f t="shared" si="15"/>
        <v>352.2588764044944</v>
      </c>
      <c r="AJ10" s="6">
        <f t="shared" si="16"/>
        <v>1824.1516975145164</v>
      </c>
      <c r="AK10" s="6"/>
      <c r="AL10" s="6"/>
      <c r="AM10" s="6"/>
    </row>
    <row r="11" spans="4:46">
      <c r="D11" s="20">
        <v>28</v>
      </c>
      <c r="E11" s="21" t="s">
        <v>192</v>
      </c>
      <c r="F11" s="20">
        <v>27</v>
      </c>
      <c r="G11" s="21" t="s">
        <v>205</v>
      </c>
      <c r="H11" s="20">
        <v>1</v>
      </c>
      <c r="I11" s="21" t="s">
        <v>207</v>
      </c>
      <c r="J11" s="29">
        <v>185</v>
      </c>
      <c r="K11" s="29">
        <v>235416</v>
      </c>
      <c r="L11" s="29">
        <v>240268</v>
      </c>
      <c r="M11" s="6">
        <f>'A-Demande-Miel'!X11</f>
        <v>80.720897053192886</v>
      </c>
      <c r="N11" s="6">
        <f>'A-Demande-Ind-lait'!S11</f>
        <v>127609.02255639098</v>
      </c>
      <c r="O11" s="6">
        <f>'A-Demande-fermiers'!AB11</f>
        <v>2379.3553090630958</v>
      </c>
      <c r="P11" s="6">
        <f>'A-Demande-CHR-traiteur'!R11</f>
        <v>47017.976174879754</v>
      </c>
      <c r="Q11" s="6">
        <f>'A-Portage'!T11</f>
        <v>574.5945787950692</v>
      </c>
      <c r="R11" s="6">
        <f>'A-Demande-bière'!S11</f>
        <v>5975.2083330312507</v>
      </c>
      <c r="S11" s="6">
        <f>'A-Demande-cidre'!O11</f>
        <v>1437.7913322632423</v>
      </c>
      <c r="T11" s="6">
        <f t="shared" si="0"/>
        <v>185074.66918147658</v>
      </c>
      <c r="U11" s="6">
        <f t="shared" si="1"/>
        <v>28.252313968617507</v>
      </c>
      <c r="V11" s="6">
        <f t="shared" si="2"/>
        <v>25521.804511278198</v>
      </c>
      <c r="W11" s="6">
        <f t="shared" si="3"/>
        <v>832.77435817208345</v>
      </c>
      <c r="X11" s="6">
        <f t="shared" si="4"/>
        <v>4701.7976174879759</v>
      </c>
      <c r="Y11" s="6">
        <f t="shared" si="5"/>
        <v>574.5945787950692</v>
      </c>
      <c r="Z11" s="6">
        <f t="shared" si="6"/>
        <v>4780.1666664250006</v>
      </c>
      <c r="AA11" s="6">
        <f t="shared" si="7"/>
        <v>1150.2330658105939</v>
      </c>
      <c r="AB11" s="6">
        <f t="shared" si="8"/>
        <v>37589.623111937537</v>
      </c>
      <c r="AC11" s="6">
        <f t="shared" si="9"/>
        <v>2.8252313968617511</v>
      </c>
      <c r="AD11" s="6">
        <f t="shared" si="10"/>
        <v>2552.1804511278201</v>
      </c>
      <c r="AE11" s="6">
        <f t="shared" si="11"/>
        <v>83.277435817208357</v>
      </c>
      <c r="AF11" s="6">
        <f t="shared" si="12"/>
        <v>470.1797617487976</v>
      </c>
      <c r="AG11" s="6">
        <f t="shared" si="13"/>
        <v>574.5945787950692</v>
      </c>
      <c r="AH11" s="6">
        <f t="shared" si="14"/>
        <v>478.01666664250007</v>
      </c>
      <c r="AI11" s="6">
        <f t="shared" si="15"/>
        <v>115.02330658105939</v>
      </c>
      <c r="AJ11" s="6">
        <f t="shared" si="16"/>
        <v>4276.0974321093163</v>
      </c>
      <c r="AK11" s="6"/>
      <c r="AL11" s="6"/>
      <c r="AM11" s="6"/>
    </row>
    <row r="12" spans="4:46">
      <c r="D12" s="20">
        <v>28</v>
      </c>
      <c r="E12" s="21" t="s">
        <v>192</v>
      </c>
      <c r="F12" s="20">
        <v>27</v>
      </c>
      <c r="G12" s="21" t="s">
        <v>205</v>
      </c>
      <c r="H12" s="20">
        <v>2</v>
      </c>
      <c r="I12" s="21" t="s">
        <v>206</v>
      </c>
      <c r="J12" s="29">
        <v>297</v>
      </c>
      <c r="K12" s="29">
        <v>225807</v>
      </c>
      <c r="L12" s="29">
        <v>230922</v>
      </c>
      <c r="M12" s="6">
        <f>'A-Demande-Miel'!X12</f>
        <v>80.720897053192886</v>
      </c>
      <c r="N12" s="6">
        <f>'A-Demande-Ind-lait'!S12</f>
        <v>12760.902255639099</v>
      </c>
      <c r="O12" s="6">
        <f>'A-Demande-fermiers'!AB12</f>
        <v>2021.1294242192459</v>
      </c>
      <c r="P12" s="6">
        <f>'A-Demande-CHR-traiteur'!R12</f>
        <v>45189.060108943275</v>
      </c>
      <c r="Q12" s="6">
        <f>'A-Portage'!T12</f>
        <v>662.69263984141855</v>
      </c>
      <c r="R12" s="6">
        <f>'A-Demande-bière'!S12</f>
        <v>164.83333332499998</v>
      </c>
      <c r="S12" s="6">
        <f>'A-Demande-cidre'!O12</f>
        <v>7997.7142857142853</v>
      </c>
      <c r="T12" s="6">
        <f t="shared" si="0"/>
        <v>68877.052944735522</v>
      </c>
      <c r="U12" s="6">
        <f t="shared" si="1"/>
        <v>28.252313968617507</v>
      </c>
      <c r="V12" s="6">
        <f t="shared" si="2"/>
        <v>2552.1804511278201</v>
      </c>
      <c r="W12" s="6">
        <f t="shared" si="3"/>
        <v>707.395298476736</v>
      </c>
      <c r="X12" s="6">
        <f t="shared" si="4"/>
        <v>4518.9060108943277</v>
      </c>
      <c r="Y12" s="6">
        <f t="shared" si="5"/>
        <v>662.69263984141855</v>
      </c>
      <c r="Z12" s="6">
        <f t="shared" si="6"/>
        <v>131.86666665999999</v>
      </c>
      <c r="AA12" s="6">
        <f t="shared" si="7"/>
        <v>6398.1714285714288</v>
      </c>
      <c r="AB12" s="6">
        <f t="shared" si="8"/>
        <v>14999.46480954035</v>
      </c>
      <c r="AC12" s="6">
        <f t="shared" si="9"/>
        <v>2.8252313968617511</v>
      </c>
      <c r="AD12" s="6">
        <f t="shared" si="10"/>
        <v>255.21804511278202</v>
      </c>
      <c r="AE12" s="6">
        <f t="shared" si="11"/>
        <v>70.739529847673609</v>
      </c>
      <c r="AF12" s="6">
        <f t="shared" si="12"/>
        <v>451.89060108943278</v>
      </c>
      <c r="AG12" s="6">
        <f t="shared" si="13"/>
        <v>662.69263984141855</v>
      </c>
      <c r="AH12" s="6">
        <f t="shared" si="14"/>
        <v>13.186666666000001</v>
      </c>
      <c r="AI12" s="6">
        <f t="shared" si="15"/>
        <v>639.81714285714293</v>
      </c>
      <c r="AJ12" s="6">
        <f t="shared" si="16"/>
        <v>2096.3698568113118</v>
      </c>
      <c r="AK12" s="6"/>
      <c r="AL12" s="6"/>
      <c r="AM12" s="6"/>
    </row>
    <row r="13" spans="4:46">
      <c r="D13" s="20">
        <v>28</v>
      </c>
      <c r="E13" s="21" t="s">
        <v>192</v>
      </c>
      <c r="F13" s="20">
        <v>27</v>
      </c>
      <c r="G13" s="21" t="s">
        <v>205</v>
      </c>
      <c r="H13" s="20">
        <v>3</v>
      </c>
      <c r="I13" s="21" t="s">
        <v>204</v>
      </c>
      <c r="J13" s="29">
        <v>103</v>
      </c>
      <c r="K13" s="29">
        <v>138445</v>
      </c>
      <c r="L13" s="29">
        <v>141576</v>
      </c>
      <c r="M13" s="6">
        <f>'A-Demande-Miel'!X13</f>
        <v>80.720897053192886</v>
      </c>
      <c r="N13" s="6">
        <f>'A-Demande-Ind-lait'!S13</f>
        <v>8507.2681704260649</v>
      </c>
      <c r="O13" s="6">
        <f>'A-Demande-fermiers'!AB13</f>
        <v>1662.903539375397</v>
      </c>
      <c r="P13" s="6">
        <f>'A-Demande-CHR-traiteur'!R13</f>
        <v>27704.966932486954</v>
      </c>
      <c r="Q13" s="6">
        <f>'A-Portage'!T13</f>
        <v>338.57526631715717</v>
      </c>
      <c r="R13" s="6">
        <f>'A-Demande-bière'!S13</f>
        <v>453.29166664375003</v>
      </c>
      <c r="S13" s="6">
        <f>'A-Demande-cidre'!O13</f>
        <v>2516.1348314606739</v>
      </c>
      <c r="T13" s="6">
        <f t="shared" si="0"/>
        <v>41263.861303763195</v>
      </c>
      <c r="U13" s="6">
        <f t="shared" si="1"/>
        <v>28.252313968617507</v>
      </c>
      <c r="V13" s="6">
        <f t="shared" si="2"/>
        <v>1701.453634085213</v>
      </c>
      <c r="W13" s="6">
        <f t="shared" si="3"/>
        <v>582.01623878138889</v>
      </c>
      <c r="X13" s="6">
        <f t="shared" si="4"/>
        <v>2770.4966932486955</v>
      </c>
      <c r="Y13" s="6">
        <f t="shared" si="5"/>
        <v>338.57526631715717</v>
      </c>
      <c r="Z13" s="6">
        <f t="shared" si="6"/>
        <v>362.63333331500007</v>
      </c>
      <c r="AA13" s="6">
        <f t="shared" si="7"/>
        <v>2012.9078651685393</v>
      </c>
      <c r="AB13" s="6">
        <f t="shared" si="8"/>
        <v>7796.3353448846119</v>
      </c>
      <c r="AC13" s="6">
        <f t="shared" si="9"/>
        <v>2.8252313968617511</v>
      </c>
      <c r="AD13" s="6">
        <f t="shared" si="10"/>
        <v>170.14536340852132</v>
      </c>
      <c r="AE13" s="6">
        <f t="shared" si="11"/>
        <v>58.201623878138889</v>
      </c>
      <c r="AF13" s="6">
        <f t="shared" si="12"/>
        <v>277.04966932486957</v>
      </c>
      <c r="AG13" s="6">
        <f t="shared" si="13"/>
        <v>338.57526631715717</v>
      </c>
      <c r="AH13" s="6">
        <f t="shared" si="14"/>
        <v>36.263333331500007</v>
      </c>
      <c r="AI13" s="6">
        <f t="shared" si="15"/>
        <v>201.29078651685393</v>
      </c>
      <c r="AJ13" s="6">
        <f t="shared" si="16"/>
        <v>1084.3512741739028</v>
      </c>
      <c r="AK13" s="6"/>
      <c r="AL13" s="6"/>
      <c r="AM13" s="6"/>
    </row>
    <row r="14" spans="4:46">
      <c r="D14" s="20">
        <v>28</v>
      </c>
      <c r="E14" s="21" t="s">
        <v>192</v>
      </c>
      <c r="F14" s="20">
        <v>50</v>
      </c>
      <c r="G14" s="21" t="s">
        <v>200</v>
      </c>
      <c r="H14" s="20">
        <v>1</v>
      </c>
      <c r="I14" s="21" t="s">
        <v>203</v>
      </c>
      <c r="J14" s="29">
        <v>134</v>
      </c>
      <c r="K14" s="29">
        <v>134398</v>
      </c>
      <c r="L14" s="29">
        <v>138960</v>
      </c>
      <c r="M14" s="6">
        <f>'A-Demande-Miel'!X14</f>
        <v>111.34014708873111</v>
      </c>
      <c r="N14" s="6">
        <f>'A-Demande-Ind-lait'!S14</f>
        <v>170145.36340852128</v>
      </c>
      <c r="O14" s="6">
        <f>'A-Demande-fermiers'!AB14</f>
        <v>2618.6718868532166</v>
      </c>
      <c r="P14" s="6">
        <f>'A-Demande-CHR-traiteur'!R14</f>
        <v>27193.042640972959</v>
      </c>
      <c r="Q14" s="6">
        <f>'A-Portage'!T14</f>
        <v>531.71067420955148</v>
      </c>
      <c r="R14" s="6">
        <f>'A-Demande-bière'!S14</f>
        <v>906.58333328750007</v>
      </c>
      <c r="S14" s="6">
        <f>'A-Demande-cidre'!O14</f>
        <v>15546.118780096307</v>
      </c>
      <c r="T14" s="6">
        <f t="shared" si="0"/>
        <v>217052.83087102952</v>
      </c>
      <c r="U14" s="6">
        <f t="shared" si="1"/>
        <v>38.969051481055885</v>
      </c>
      <c r="V14" s="6">
        <f t="shared" si="2"/>
        <v>34029.07268170426</v>
      </c>
      <c r="W14" s="6">
        <f t="shared" si="3"/>
        <v>916.53516039862575</v>
      </c>
      <c r="X14" s="6">
        <f t="shared" si="4"/>
        <v>2719.3042640972963</v>
      </c>
      <c r="Y14" s="6">
        <f t="shared" si="5"/>
        <v>531.71067420955148</v>
      </c>
      <c r="Z14" s="6">
        <f t="shared" si="6"/>
        <v>725.26666663000015</v>
      </c>
      <c r="AA14" s="6">
        <f t="shared" si="7"/>
        <v>12436.895024077046</v>
      </c>
      <c r="AB14" s="6">
        <f t="shared" si="8"/>
        <v>51397.753522597835</v>
      </c>
      <c r="AC14" s="6">
        <f t="shared" si="9"/>
        <v>3.8969051481055885</v>
      </c>
      <c r="AD14" s="6">
        <f t="shared" si="10"/>
        <v>3402.9072681704261</v>
      </c>
      <c r="AE14" s="6">
        <f t="shared" si="11"/>
        <v>91.653516039862581</v>
      </c>
      <c r="AF14" s="6">
        <f t="shared" si="12"/>
        <v>271.93042640972965</v>
      </c>
      <c r="AG14" s="6">
        <f t="shared" si="13"/>
        <v>531.71067420955148</v>
      </c>
      <c r="AH14" s="6">
        <f t="shared" si="14"/>
        <v>72.526666663000015</v>
      </c>
      <c r="AI14" s="6">
        <f t="shared" si="15"/>
        <v>1243.6895024077048</v>
      </c>
      <c r="AJ14" s="6">
        <f t="shared" si="16"/>
        <v>5618.3149590483799</v>
      </c>
      <c r="AK14" s="6"/>
      <c r="AL14" s="6"/>
      <c r="AM14" s="6"/>
    </row>
    <row r="15" spans="4:46">
      <c r="D15" s="20">
        <v>28</v>
      </c>
      <c r="E15" s="21" t="s">
        <v>192</v>
      </c>
      <c r="F15" s="20">
        <v>50</v>
      </c>
      <c r="G15" s="21" t="s">
        <v>200</v>
      </c>
      <c r="H15" s="20">
        <v>2</v>
      </c>
      <c r="I15" s="21" t="s">
        <v>202</v>
      </c>
      <c r="J15" s="29">
        <v>144</v>
      </c>
      <c r="K15" s="29">
        <v>186773</v>
      </c>
      <c r="L15" s="29">
        <v>191708</v>
      </c>
      <c r="M15" s="6">
        <f>'A-Demande-Miel'!X15</f>
        <v>17.319578436024841</v>
      </c>
      <c r="N15" s="6">
        <f>'A-Demande-Ind-lait'!S15</f>
        <v>233949.87468671676</v>
      </c>
      <c r="O15" s="6">
        <f>'A-Demande-fermiers'!AB15</f>
        <v>5148.2608753886461</v>
      </c>
      <c r="P15" s="6">
        <f>'A-Demande-CHR-traiteur'!R15</f>
        <v>37515.283668794211</v>
      </c>
      <c r="Q15" s="6">
        <f>'A-Portage'!T15</f>
        <v>733.5433932884622</v>
      </c>
      <c r="R15" s="6">
        <f>'A-Demande-bière'!S15</f>
        <v>609.88333330250009</v>
      </c>
      <c r="S15" s="6">
        <f>'A-Demande-cidre'!O15</f>
        <v>3414.7544141252006</v>
      </c>
      <c r="T15" s="6">
        <f t="shared" si="0"/>
        <v>281388.91995005187</v>
      </c>
      <c r="U15" s="6">
        <f t="shared" si="1"/>
        <v>6.0618524526086937</v>
      </c>
      <c r="V15" s="6">
        <f t="shared" si="2"/>
        <v>46789.974937343359</v>
      </c>
      <c r="W15" s="6">
        <f t="shared" si="3"/>
        <v>1801.8913063860259</v>
      </c>
      <c r="X15" s="6">
        <f t="shared" si="4"/>
        <v>3751.5283668794214</v>
      </c>
      <c r="Y15" s="6">
        <f t="shared" si="5"/>
        <v>733.5433932884622</v>
      </c>
      <c r="Z15" s="6">
        <f t="shared" si="6"/>
        <v>487.90666664200012</v>
      </c>
      <c r="AA15" s="6">
        <f t="shared" si="7"/>
        <v>2731.8035313001606</v>
      </c>
      <c r="AB15" s="6">
        <f t="shared" si="8"/>
        <v>56302.710054292031</v>
      </c>
      <c r="AC15" s="6">
        <f t="shared" si="9"/>
        <v>0.60618524526086937</v>
      </c>
      <c r="AD15" s="6">
        <f t="shared" si="10"/>
        <v>4678.9974937343359</v>
      </c>
      <c r="AE15" s="6">
        <f t="shared" si="11"/>
        <v>180.18913063860259</v>
      </c>
      <c r="AF15" s="6">
        <f t="shared" si="12"/>
        <v>375.15283668794217</v>
      </c>
      <c r="AG15" s="6">
        <f t="shared" si="13"/>
        <v>733.5433932884622</v>
      </c>
      <c r="AH15" s="6">
        <f t="shared" si="14"/>
        <v>48.790666664200018</v>
      </c>
      <c r="AI15" s="6">
        <f t="shared" si="15"/>
        <v>273.18035313001604</v>
      </c>
      <c r="AJ15" s="6">
        <f t="shared" si="16"/>
        <v>6290.4600593888199</v>
      </c>
      <c r="AK15" s="6"/>
      <c r="AL15" s="6"/>
      <c r="AM15" s="6"/>
    </row>
    <row r="16" spans="4:46">
      <c r="D16" s="20">
        <v>28</v>
      </c>
      <c r="E16" s="21" t="s">
        <v>192</v>
      </c>
      <c r="F16" s="20">
        <v>50</v>
      </c>
      <c r="G16" s="21" t="s">
        <v>200</v>
      </c>
      <c r="H16" s="20">
        <v>3</v>
      </c>
      <c r="I16" s="21" t="s">
        <v>201</v>
      </c>
      <c r="J16" s="29">
        <v>81</v>
      </c>
      <c r="K16" s="29">
        <v>70274</v>
      </c>
      <c r="L16" s="29">
        <v>72885</v>
      </c>
      <c r="M16" s="6">
        <f>'A-Demande-Miel'!X16</f>
        <v>49.484509817213826</v>
      </c>
      <c r="N16" s="6">
        <f>'A-Demande-Ind-lait'!S16</f>
        <v>191413.53383458644</v>
      </c>
      <c r="O16" s="6">
        <f>'A-Demande-fermiers'!AB16</f>
        <v>3786.1744969464917</v>
      </c>
      <c r="P16" s="6">
        <f>'A-Demande-CHR-traiteur'!R16</f>
        <v>19967.982714754176</v>
      </c>
      <c r="Q16" s="6">
        <f>'A-Portage'!T16</f>
        <v>278.88408527463412</v>
      </c>
      <c r="R16" s="6">
        <f>'A-Demande-bière'!S16</f>
        <v>461.53333330999999</v>
      </c>
      <c r="S16" s="6">
        <f>'A-Demande-cidre'!O16</f>
        <v>3594.4783306581057</v>
      </c>
      <c r="T16" s="6">
        <f t="shared" si="0"/>
        <v>219552.07130534705</v>
      </c>
      <c r="U16" s="6">
        <f t="shared" si="1"/>
        <v>17.319578436024837</v>
      </c>
      <c r="V16" s="6">
        <f t="shared" si="2"/>
        <v>38282.70676691729</v>
      </c>
      <c r="W16" s="6">
        <f t="shared" si="3"/>
        <v>1325.1610739312721</v>
      </c>
      <c r="X16" s="6">
        <f t="shared" si="4"/>
        <v>1996.7982714754178</v>
      </c>
      <c r="Y16" s="6">
        <f t="shared" si="5"/>
        <v>278.88408527463412</v>
      </c>
      <c r="Z16" s="6">
        <f t="shared" si="6"/>
        <v>369.22666664799999</v>
      </c>
      <c r="AA16" s="6">
        <f t="shared" si="7"/>
        <v>2875.5826645264847</v>
      </c>
      <c r="AB16" s="6">
        <f t="shared" si="8"/>
        <v>45145.679107209122</v>
      </c>
      <c r="AC16" s="6">
        <f t="shared" si="9"/>
        <v>1.7319578436024838</v>
      </c>
      <c r="AD16" s="6">
        <f t="shared" si="10"/>
        <v>3828.270676691729</v>
      </c>
      <c r="AE16" s="6">
        <f t="shared" si="11"/>
        <v>132.51610739312721</v>
      </c>
      <c r="AF16" s="6">
        <f t="shared" si="12"/>
        <v>199.6798271475418</v>
      </c>
      <c r="AG16" s="6">
        <f t="shared" si="13"/>
        <v>278.88408527463412</v>
      </c>
      <c r="AH16" s="6">
        <f t="shared" si="14"/>
        <v>36.922666664799998</v>
      </c>
      <c r="AI16" s="6">
        <f t="shared" si="15"/>
        <v>287.55826645264847</v>
      </c>
      <c r="AJ16" s="6">
        <f t="shared" si="16"/>
        <v>4765.5635874680838</v>
      </c>
      <c r="AK16" s="6"/>
      <c r="AL16" s="6"/>
      <c r="AM16" s="6"/>
    </row>
    <row r="17" spans="4:43">
      <c r="D17" s="20">
        <v>28</v>
      </c>
      <c r="E17" s="21" t="s">
        <v>192</v>
      </c>
      <c r="F17" s="20">
        <v>50</v>
      </c>
      <c r="G17" s="21" t="s">
        <v>200</v>
      </c>
      <c r="H17" s="20">
        <v>4</v>
      </c>
      <c r="I17" s="21" t="s">
        <v>199</v>
      </c>
      <c r="J17" s="29">
        <v>87</v>
      </c>
      <c r="K17" s="29">
        <v>103648</v>
      </c>
      <c r="L17" s="29">
        <v>106953</v>
      </c>
      <c r="M17" s="6">
        <f>'A-Demande-Miel'!X17</f>
        <v>49.484509817213826</v>
      </c>
      <c r="N17" s="6">
        <f>'A-Demande-Ind-lait'!S17</f>
        <v>319022.55639097746</v>
      </c>
      <c r="O17" s="6">
        <f>'A-Demande-fermiers'!AB17</f>
        <v>2618.6718868532166</v>
      </c>
      <c r="P17" s="6">
        <f>'A-Demande-CHR-traiteur'!R17</f>
        <v>25115.522362521428</v>
      </c>
      <c r="Q17" s="6">
        <f>'A-Portage'!T17</f>
        <v>337.62336416562817</v>
      </c>
      <c r="R17" s="6">
        <f>'A-Demande-bière'!S17</f>
        <v>288.45833331874996</v>
      </c>
      <c r="S17" s="6">
        <f>'A-Demande-cidre'!O17</f>
        <v>6200.4751203852329</v>
      </c>
      <c r="T17" s="6">
        <f t="shared" si="0"/>
        <v>353632.79196803895</v>
      </c>
      <c r="U17" s="6">
        <f t="shared" si="1"/>
        <v>17.319578436024837</v>
      </c>
      <c r="V17" s="6">
        <f t="shared" si="2"/>
        <v>63804.511278195496</v>
      </c>
      <c r="W17" s="6">
        <f t="shared" si="3"/>
        <v>916.53516039862575</v>
      </c>
      <c r="X17" s="6">
        <f t="shared" si="4"/>
        <v>2511.5522362521428</v>
      </c>
      <c r="Y17" s="6">
        <f t="shared" si="5"/>
        <v>337.62336416562817</v>
      </c>
      <c r="Z17" s="6">
        <f t="shared" si="6"/>
        <v>230.76666665499999</v>
      </c>
      <c r="AA17" s="6">
        <f t="shared" si="7"/>
        <v>4960.3800963081867</v>
      </c>
      <c r="AB17" s="6">
        <f t="shared" si="8"/>
        <v>72778.688380411113</v>
      </c>
      <c r="AC17" s="6">
        <f t="shared" si="9"/>
        <v>1.7319578436024838</v>
      </c>
      <c r="AD17" s="6">
        <f t="shared" si="10"/>
        <v>6380.4511278195496</v>
      </c>
      <c r="AE17" s="6">
        <f t="shared" si="11"/>
        <v>91.653516039862581</v>
      </c>
      <c r="AF17" s="6">
        <f t="shared" si="12"/>
        <v>251.15522362521429</v>
      </c>
      <c r="AG17" s="6">
        <f t="shared" si="13"/>
        <v>337.62336416562817</v>
      </c>
      <c r="AH17" s="6">
        <f t="shared" si="14"/>
        <v>23.076666665499999</v>
      </c>
      <c r="AI17" s="6">
        <f t="shared" si="15"/>
        <v>496.03800963081869</v>
      </c>
      <c r="AJ17" s="6">
        <f t="shared" si="16"/>
        <v>7581.7298657901765</v>
      </c>
      <c r="AK17" s="6"/>
      <c r="AL17" s="6"/>
      <c r="AM17" s="6"/>
    </row>
    <row r="18" spans="4:43">
      <c r="D18" s="20">
        <v>28</v>
      </c>
      <c r="E18" s="21" t="s">
        <v>192</v>
      </c>
      <c r="F18" s="20">
        <v>61</v>
      </c>
      <c r="G18" s="21" t="s">
        <v>196</v>
      </c>
      <c r="H18" s="20">
        <v>1</v>
      </c>
      <c r="I18" s="21" t="s">
        <v>198</v>
      </c>
      <c r="J18" s="29">
        <v>111</v>
      </c>
      <c r="K18" s="29">
        <v>85380</v>
      </c>
      <c r="L18" s="29">
        <v>87795</v>
      </c>
      <c r="M18" s="6">
        <f>'A-Demande-Miel'!X18</f>
        <v>49.484509817213826</v>
      </c>
      <c r="N18" s="6">
        <f>'A-Demande-Ind-lait'!S18</f>
        <v>170145.36340852128</v>
      </c>
      <c r="O18" s="6">
        <f>'A-Demande-fermiers'!AB18</f>
        <v>1871.7027253517829</v>
      </c>
      <c r="P18" s="6">
        <f>'A-Demande-CHR-traiteur'!R18</f>
        <v>13744.462744180892</v>
      </c>
      <c r="Q18" s="6">
        <f>'A-Portage'!T18</f>
        <v>335.9350794633533</v>
      </c>
      <c r="R18" s="6">
        <f>'A-Demande-bière'!S18</f>
        <v>206.04166665624999</v>
      </c>
      <c r="S18" s="6">
        <f>'A-Demande-cidre'!O18</f>
        <v>11322.606741573034</v>
      </c>
      <c r="T18" s="6">
        <f t="shared" si="0"/>
        <v>197675.59687556379</v>
      </c>
      <c r="U18" s="6">
        <f t="shared" si="1"/>
        <v>17.319578436024837</v>
      </c>
      <c r="V18" s="6">
        <f t="shared" si="2"/>
        <v>34029.07268170426</v>
      </c>
      <c r="W18" s="6">
        <f t="shared" si="3"/>
        <v>655.09595387312402</v>
      </c>
      <c r="X18" s="6">
        <f t="shared" si="4"/>
        <v>1374.4462744180892</v>
      </c>
      <c r="Y18" s="6">
        <f t="shared" si="5"/>
        <v>335.9350794633533</v>
      </c>
      <c r="Z18" s="6">
        <f t="shared" si="6"/>
        <v>164.83333332500001</v>
      </c>
      <c r="AA18" s="6">
        <f t="shared" si="7"/>
        <v>9058.0853932584268</v>
      </c>
      <c r="AB18" s="6">
        <f t="shared" si="8"/>
        <v>45634.788294478269</v>
      </c>
      <c r="AC18" s="6">
        <f t="shared" si="9"/>
        <v>1.7319578436024838</v>
      </c>
      <c r="AD18" s="6">
        <f t="shared" si="10"/>
        <v>3402.9072681704261</v>
      </c>
      <c r="AE18" s="6">
        <f t="shared" si="11"/>
        <v>65.509595387312402</v>
      </c>
      <c r="AF18" s="6">
        <f t="shared" si="12"/>
        <v>137.44462744180893</v>
      </c>
      <c r="AG18" s="6">
        <f t="shared" si="13"/>
        <v>335.9350794633533</v>
      </c>
      <c r="AH18" s="6">
        <f t="shared" si="14"/>
        <v>16.483333332500003</v>
      </c>
      <c r="AI18" s="6">
        <f t="shared" si="15"/>
        <v>905.80853932584273</v>
      </c>
      <c r="AJ18" s="6">
        <f t="shared" si="16"/>
        <v>4865.8204009648462</v>
      </c>
      <c r="AK18" s="6"/>
      <c r="AL18" s="6"/>
      <c r="AM18" s="6"/>
    </row>
    <row r="19" spans="4:43">
      <c r="D19" s="20">
        <v>28</v>
      </c>
      <c r="E19" s="21" t="s">
        <v>192</v>
      </c>
      <c r="F19" s="20">
        <v>61</v>
      </c>
      <c r="G19" s="21" t="s">
        <v>196</v>
      </c>
      <c r="H19" s="20">
        <v>2</v>
      </c>
      <c r="I19" s="21" t="s">
        <v>197</v>
      </c>
      <c r="J19" s="29">
        <v>123</v>
      </c>
      <c r="K19" s="29">
        <v>108122</v>
      </c>
      <c r="L19" s="29">
        <v>111212</v>
      </c>
      <c r="M19" s="6">
        <f>'A-Demande-Miel'!X19</f>
        <v>123.71127454303455</v>
      </c>
      <c r="N19" s="6">
        <f>'A-Demande-Ind-lait'!S19</f>
        <v>340290.72681704257</v>
      </c>
      <c r="O19" s="6">
        <f>'A-Demande-fermiers'!AB19</f>
        <v>1871.7027253517829</v>
      </c>
      <c r="P19" s="6">
        <f>'A-Demande-CHR-traiteur'!R19</f>
        <v>13057.826676113495</v>
      </c>
      <c r="Q19" s="6">
        <f>'A-Portage'!T19</f>
        <v>425.53689910904325</v>
      </c>
      <c r="R19" s="6">
        <f>'A-Demande-bière'!S19</f>
        <v>206.04166665624999</v>
      </c>
      <c r="S19" s="6">
        <f>'A-Demande-cidre'!O19</f>
        <v>8536.8860353130021</v>
      </c>
      <c r="T19" s="6">
        <f t="shared" si="0"/>
        <v>364512.43209412915</v>
      </c>
      <c r="U19" s="6">
        <f t="shared" si="1"/>
        <v>43.298946090062088</v>
      </c>
      <c r="V19" s="6">
        <f t="shared" si="2"/>
        <v>68058.145363408519</v>
      </c>
      <c r="W19" s="6">
        <f t="shared" si="3"/>
        <v>655.09595387312402</v>
      </c>
      <c r="X19" s="6">
        <f t="shared" si="4"/>
        <v>1305.7826676113496</v>
      </c>
      <c r="Y19" s="6">
        <f t="shared" si="5"/>
        <v>425.53689910904325</v>
      </c>
      <c r="Z19" s="6">
        <f t="shared" si="6"/>
        <v>164.83333332500001</v>
      </c>
      <c r="AA19" s="6">
        <f t="shared" si="7"/>
        <v>6829.5088282504021</v>
      </c>
      <c r="AB19" s="6">
        <f t="shared" si="8"/>
        <v>77482.201991667491</v>
      </c>
      <c r="AC19" s="6">
        <f t="shared" si="9"/>
        <v>4.3298946090062094</v>
      </c>
      <c r="AD19" s="6">
        <f t="shared" si="10"/>
        <v>6805.8145363408521</v>
      </c>
      <c r="AE19" s="6">
        <f t="shared" si="11"/>
        <v>65.509595387312402</v>
      </c>
      <c r="AF19" s="6">
        <f t="shared" si="12"/>
        <v>130.57826676113496</v>
      </c>
      <c r="AG19" s="6">
        <f t="shared" si="13"/>
        <v>425.53689910904325</v>
      </c>
      <c r="AH19" s="6">
        <f t="shared" si="14"/>
        <v>16.483333332500003</v>
      </c>
      <c r="AI19" s="6">
        <f t="shared" si="15"/>
        <v>682.95088282504025</v>
      </c>
      <c r="AJ19" s="6">
        <f t="shared" si="16"/>
        <v>8131.2034083648887</v>
      </c>
      <c r="AK19" s="6"/>
      <c r="AL19" s="6"/>
      <c r="AM19" s="6"/>
    </row>
    <row r="20" spans="4:43" ht="25.5">
      <c r="D20" s="20">
        <v>28</v>
      </c>
      <c r="E20" s="21" t="s">
        <v>192</v>
      </c>
      <c r="F20" s="20">
        <v>61</v>
      </c>
      <c r="G20" s="21" t="s">
        <v>196</v>
      </c>
      <c r="H20" s="20">
        <v>3</v>
      </c>
      <c r="I20" s="21" t="s">
        <v>195</v>
      </c>
      <c r="J20" s="29">
        <v>151</v>
      </c>
      <c r="K20" s="29">
        <v>84973</v>
      </c>
      <c r="L20" s="29">
        <v>87272</v>
      </c>
      <c r="M20" s="6">
        <f>'A-Demande-Miel'!X20</f>
        <v>105.15458336157938</v>
      </c>
      <c r="N20" s="6">
        <f>'A-Demande-Ind-lait'!S20</f>
        <v>42536.340852130321</v>
      </c>
      <c r="O20" s="6">
        <f>'A-Demande-fermiers'!AB20</f>
        <v>2328.1284066897292</v>
      </c>
      <c r="P20" s="6">
        <f>'A-Demande-CHR-traiteur'!R20</f>
        <v>13662.586167892874</v>
      </c>
      <c r="Q20" s="6">
        <f>'A-Portage'!T20</f>
        <v>333.93389435532509</v>
      </c>
      <c r="R20" s="6">
        <f>'A-Demande-bière'!S20</f>
        <v>288.45833331874996</v>
      </c>
      <c r="S20" s="6">
        <f>'A-Demande-cidre'!O20</f>
        <v>12850.260032102729</v>
      </c>
      <c r="T20" s="6">
        <f t="shared" si="0"/>
        <v>72104.862269851306</v>
      </c>
      <c r="U20" s="6">
        <f t="shared" si="1"/>
        <v>36.804104176552784</v>
      </c>
      <c r="V20" s="6">
        <f t="shared" si="2"/>
        <v>8507.2681704260649</v>
      </c>
      <c r="W20" s="6">
        <f t="shared" si="3"/>
        <v>814.84494234140516</v>
      </c>
      <c r="X20" s="6">
        <f t="shared" si="4"/>
        <v>1366.2586167892875</v>
      </c>
      <c r="Y20" s="6">
        <f t="shared" si="5"/>
        <v>333.93389435532509</v>
      </c>
      <c r="Z20" s="6">
        <f t="shared" si="6"/>
        <v>230.76666665499999</v>
      </c>
      <c r="AA20" s="6">
        <f t="shared" si="7"/>
        <v>10280.208025682185</v>
      </c>
      <c r="AB20" s="6">
        <f t="shared" si="8"/>
        <v>21570.084420425821</v>
      </c>
      <c r="AC20" s="6">
        <f t="shared" si="9"/>
        <v>3.6804104176552785</v>
      </c>
      <c r="AD20" s="6">
        <f t="shared" si="10"/>
        <v>850.72681704260651</v>
      </c>
      <c r="AE20" s="6">
        <f t="shared" si="11"/>
        <v>81.484494234140527</v>
      </c>
      <c r="AF20" s="6">
        <f t="shared" si="12"/>
        <v>136.62586167892877</v>
      </c>
      <c r="AG20" s="6">
        <f t="shared" si="13"/>
        <v>333.93389435532509</v>
      </c>
      <c r="AH20" s="6">
        <f t="shared" si="14"/>
        <v>23.076666665499999</v>
      </c>
      <c r="AI20" s="6">
        <f t="shared" si="15"/>
        <v>1028.0208025682184</v>
      </c>
      <c r="AJ20" s="6">
        <f t="shared" si="16"/>
        <v>2457.5489469623744</v>
      </c>
      <c r="AK20" s="6"/>
      <c r="AL20" s="6"/>
      <c r="AM20" s="6"/>
    </row>
    <row r="21" spans="4:43" ht="25.5">
      <c r="D21" s="20">
        <v>28</v>
      </c>
      <c r="E21" s="21" t="s">
        <v>192</v>
      </c>
      <c r="F21" s="20">
        <v>76</v>
      </c>
      <c r="G21" s="21" t="s">
        <v>191</v>
      </c>
      <c r="H21" s="20">
        <v>1</v>
      </c>
      <c r="I21" s="21" t="s">
        <v>194</v>
      </c>
      <c r="J21" s="29">
        <v>343</v>
      </c>
      <c r="K21" s="29">
        <v>232723</v>
      </c>
      <c r="L21" s="29">
        <v>238071</v>
      </c>
      <c r="M21" s="6">
        <f>'A-Demande-Miel'!X21</f>
        <v>80.720897053192886</v>
      </c>
      <c r="N21" s="6">
        <f>'A-Demande-Ind-lait'!S21</f>
        <v>170145.36340852128</v>
      </c>
      <c r="O21" s="6">
        <f>'A-Demande-fermiers'!AB21</f>
        <v>2365.9268709723151</v>
      </c>
      <c r="P21" s="6">
        <f>'A-Demande-CHR-traiteur'!R21</f>
        <v>37270.436698785692</v>
      </c>
      <c r="Q21" s="6">
        <f>'A-Portage'!T21</f>
        <v>751.5294749121133</v>
      </c>
      <c r="R21" s="6">
        <f>'A-Demande-bière'!S21</f>
        <v>1401.0833332625</v>
      </c>
      <c r="S21" s="6">
        <f>'A-Demande-cidre'!O21</f>
        <v>4403.2359550561796</v>
      </c>
      <c r="T21" s="6">
        <f t="shared" si="0"/>
        <v>216418.2966385633</v>
      </c>
      <c r="U21" s="6">
        <f t="shared" si="1"/>
        <v>28.252313968617507</v>
      </c>
      <c r="V21" s="6">
        <f t="shared" si="2"/>
        <v>34029.07268170426</v>
      </c>
      <c r="W21" s="6">
        <f t="shared" si="3"/>
        <v>828.07440484031019</v>
      </c>
      <c r="X21" s="6">
        <f t="shared" si="4"/>
        <v>3727.0436698785693</v>
      </c>
      <c r="Y21" s="6">
        <f t="shared" si="5"/>
        <v>751.5294749121133</v>
      </c>
      <c r="Z21" s="6">
        <f t="shared" si="6"/>
        <v>1120.86666661</v>
      </c>
      <c r="AA21" s="6">
        <f t="shared" si="7"/>
        <v>3522.5887640449437</v>
      </c>
      <c r="AB21" s="6">
        <f t="shared" si="8"/>
        <v>44007.427975958817</v>
      </c>
      <c r="AC21" s="6">
        <f t="shared" si="9"/>
        <v>2.8252313968617511</v>
      </c>
      <c r="AD21" s="6">
        <f t="shared" si="10"/>
        <v>3402.9072681704261</v>
      </c>
      <c r="AE21" s="6">
        <f t="shared" si="11"/>
        <v>82.807440484031019</v>
      </c>
      <c r="AF21" s="6">
        <f t="shared" si="12"/>
        <v>372.70436698785693</v>
      </c>
      <c r="AG21" s="6">
        <f t="shared" si="13"/>
        <v>751.5294749121133</v>
      </c>
      <c r="AH21" s="6">
        <f t="shared" si="14"/>
        <v>112.08666666100001</v>
      </c>
      <c r="AI21" s="6">
        <f t="shared" si="15"/>
        <v>352.2588764044944</v>
      </c>
      <c r="AJ21" s="6">
        <f t="shared" si="16"/>
        <v>5077.1193250167826</v>
      </c>
      <c r="AK21" s="6"/>
      <c r="AL21" s="6"/>
      <c r="AM21" s="6"/>
    </row>
    <row r="22" spans="4:43" ht="25.5">
      <c r="D22" s="20">
        <v>28</v>
      </c>
      <c r="E22" s="21" t="s">
        <v>192</v>
      </c>
      <c r="F22" s="20">
        <v>76</v>
      </c>
      <c r="G22" s="21" t="s">
        <v>191</v>
      </c>
      <c r="H22" s="20">
        <v>2</v>
      </c>
      <c r="I22" s="21" t="s">
        <v>193</v>
      </c>
      <c r="J22" s="29">
        <v>149</v>
      </c>
      <c r="K22" s="29">
        <v>383415</v>
      </c>
      <c r="L22" s="29">
        <v>388909</v>
      </c>
      <c r="M22" s="6">
        <f>'A-Demande-Miel'!X22</f>
        <v>80.720897053192886</v>
      </c>
      <c r="N22" s="6">
        <f>'A-Demande-Ind-lait'!S22</f>
        <v>170145.36340852128</v>
      </c>
      <c r="O22" s="6">
        <f>'A-Demande-fermiers'!AB22</f>
        <v>2984.9535960120247</v>
      </c>
      <c r="P22" s="6">
        <f>'A-Demande-CHR-traiteur'!R22</f>
        <v>121768.7854975032</v>
      </c>
      <c r="Q22" s="6">
        <f>'A-Portage'!T22</f>
        <v>930.06560609241183</v>
      </c>
      <c r="R22" s="6">
        <f>'A-Demande-bière'!S22</f>
        <v>288.45833331874996</v>
      </c>
      <c r="S22" s="6">
        <f>'A-Demande-cidre'!O22</f>
        <v>898.61958266452643</v>
      </c>
      <c r="T22" s="6">
        <f t="shared" si="0"/>
        <v>297096.96692116535</v>
      </c>
      <c r="U22" s="6">
        <f t="shared" si="1"/>
        <v>28.252313968617507</v>
      </c>
      <c r="V22" s="6">
        <f t="shared" si="2"/>
        <v>34029.07268170426</v>
      </c>
      <c r="W22" s="6">
        <f t="shared" si="3"/>
        <v>1044.7337586042086</v>
      </c>
      <c r="X22" s="6">
        <f t="shared" si="4"/>
        <v>12176.87854975032</v>
      </c>
      <c r="Y22" s="6">
        <f t="shared" si="5"/>
        <v>930.06560609241183</v>
      </c>
      <c r="Z22" s="6">
        <f t="shared" si="6"/>
        <v>230.76666665499999</v>
      </c>
      <c r="AA22" s="6">
        <f t="shared" si="7"/>
        <v>718.89566613162117</v>
      </c>
      <c r="AB22" s="6">
        <f t="shared" si="8"/>
        <v>49158.665242906427</v>
      </c>
      <c r="AC22" s="6">
        <f t="shared" si="9"/>
        <v>2.8252313968617511</v>
      </c>
      <c r="AD22" s="6">
        <f t="shared" si="10"/>
        <v>3402.9072681704261</v>
      </c>
      <c r="AE22" s="6">
        <f t="shared" si="11"/>
        <v>104.47337586042086</v>
      </c>
      <c r="AF22" s="6">
        <f t="shared" si="12"/>
        <v>1217.687854975032</v>
      </c>
      <c r="AG22" s="6">
        <f t="shared" si="13"/>
        <v>930.06560609241183</v>
      </c>
      <c r="AH22" s="6">
        <f t="shared" si="14"/>
        <v>23.076666665499999</v>
      </c>
      <c r="AI22" s="6">
        <f t="shared" si="15"/>
        <v>71.889566613162117</v>
      </c>
      <c r="AJ22" s="6">
        <f t="shared" si="16"/>
        <v>5752.9255697738145</v>
      </c>
      <c r="AK22" s="6"/>
      <c r="AL22" s="6"/>
      <c r="AM22" s="6"/>
    </row>
    <row r="23" spans="4:43" ht="25.5">
      <c r="D23" s="20">
        <v>28</v>
      </c>
      <c r="E23" s="21" t="s">
        <v>192</v>
      </c>
      <c r="F23" s="20">
        <v>76</v>
      </c>
      <c r="G23" s="21" t="s">
        <v>191</v>
      </c>
      <c r="H23" s="20">
        <v>3</v>
      </c>
      <c r="I23" s="21" t="s">
        <v>190</v>
      </c>
      <c r="J23" s="29">
        <v>216</v>
      </c>
      <c r="K23" s="29">
        <v>638601</v>
      </c>
      <c r="L23" s="29">
        <v>648402</v>
      </c>
      <c r="M23" s="6">
        <f>'A-Demande-Miel'!X23</f>
        <v>80.720897053192886</v>
      </c>
      <c r="N23" s="6">
        <f>'A-Demande-Ind-lait'!S23</f>
        <v>85072.681704260642</v>
      </c>
      <c r="O23" s="6">
        <f>'A-Demande-fermiers'!AB23</f>
        <v>2984.9535960120247</v>
      </c>
      <c r="P23" s="6">
        <f>'A-Demande-CHR-traiteur'!R23</f>
        <v>228394.08334834388</v>
      </c>
      <c r="Q23" s="6">
        <f>'A-Portage'!T23</f>
        <v>1550.6362648371007</v>
      </c>
      <c r="R23" s="6">
        <f>'A-Demande-bière'!S23</f>
        <v>824.16666662499995</v>
      </c>
      <c r="S23" s="6">
        <f>'A-Demande-cidre'!O23</f>
        <v>2156.6869983948636</v>
      </c>
      <c r="T23" s="6">
        <f t="shared" si="0"/>
        <v>321063.92947552667</v>
      </c>
      <c r="U23" s="6">
        <f t="shared" si="1"/>
        <v>28.252313968617507</v>
      </c>
      <c r="V23" s="6">
        <f t="shared" si="2"/>
        <v>17014.53634085213</v>
      </c>
      <c r="W23" s="6">
        <f t="shared" si="3"/>
        <v>1044.7337586042086</v>
      </c>
      <c r="X23" s="6">
        <f t="shared" si="4"/>
        <v>22839.408334834388</v>
      </c>
      <c r="Y23" s="6">
        <f t="shared" si="5"/>
        <v>1550.6362648371007</v>
      </c>
      <c r="Z23" s="6">
        <f t="shared" si="6"/>
        <v>659.33333330000005</v>
      </c>
      <c r="AA23" s="6">
        <f t="shared" si="7"/>
        <v>1725.349598715891</v>
      </c>
      <c r="AB23" s="6">
        <f t="shared" si="8"/>
        <v>44862.249945112329</v>
      </c>
      <c r="AC23" s="6">
        <f t="shared" si="9"/>
        <v>2.8252313968617511</v>
      </c>
      <c r="AD23" s="6">
        <f t="shared" si="10"/>
        <v>1701.453634085213</v>
      </c>
      <c r="AE23" s="6">
        <f t="shared" si="11"/>
        <v>104.47337586042086</v>
      </c>
      <c r="AF23" s="6">
        <f t="shared" si="12"/>
        <v>2283.9408334834388</v>
      </c>
      <c r="AG23" s="6">
        <f t="shared" si="13"/>
        <v>1550.6362648371007</v>
      </c>
      <c r="AH23" s="6">
        <f t="shared" si="14"/>
        <v>65.933333330000011</v>
      </c>
      <c r="AI23" s="6">
        <f t="shared" si="15"/>
        <v>172.53495987158911</v>
      </c>
      <c r="AJ23" s="6">
        <f t="shared" si="16"/>
        <v>5881.7976328646246</v>
      </c>
      <c r="AK23" s="6"/>
      <c r="AL23" s="6"/>
      <c r="AM23" s="6"/>
    </row>
    <row r="24" spans="4:43">
      <c r="M24" s="6">
        <f t="shared" ref="M24:T24" si="17">SUM(M7:M23)</f>
        <v>1268.6548629219963</v>
      </c>
      <c r="N24" s="6">
        <f t="shared" si="17"/>
        <v>2828666.666666666</v>
      </c>
      <c r="O24" s="6">
        <f t="shared" si="17"/>
        <v>43208.065995975863</v>
      </c>
      <c r="P24" s="6">
        <f t="shared" si="17"/>
        <v>828704.99999999988</v>
      </c>
      <c r="Q24" s="6">
        <f t="shared" si="17"/>
        <v>9000</v>
      </c>
      <c r="R24" s="6">
        <f t="shared" si="17"/>
        <v>13845.999999300002</v>
      </c>
      <c r="S24" s="6">
        <f t="shared" si="17"/>
        <v>111968</v>
      </c>
      <c r="T24" s="6">
        <f t="shared" si="17"/>
        <v>3836662.3875248642</v>
      </c>
      <c r="AC24" s="6">
        <f t="shared" ref="AC24:AJ24" si="18">SUM(AC7:AC23)</f>
        <v>44.402920202269875</v>
      </c>
      <c r="AD24" s="6">
        <f t="shared" si="18"/>
        <v>56573.333333333343</v>
      </c>
      <c r="AE24" s="6">
        <f t="shared" si="18"/>
        <v>1512.282309859155</v>
      </c>
      <c r="AF24" s="6">
        <f t="shared" si="18"/>
        <v>8287.0499999999993</v>
      </c>
      <c r="AG24" s="6">
        <f t="shared" si="18"/>
        <v>9000</v>
      </c>
      <c r="AH24" s="6">
        <f t="shared" si="18"/>
        <v>1107.679999944</v>
      </c>
      <c r="AI24" s="6">
        <f t="shared" si="18"/>
        <v>8957.44</v>
      </c>
      <c r="AJ24" s="6">
        <f t="shared" si="18"/>
        <v>85482.188563338743</v>
      </c>
    </row>
    <row r="28" spans="4:43" ht="22.15" customHeight="1">
      <c r="V28" s="12"/>
      <c r="W28" s="135" t="s">
        <v>405</v>
      </c>
      <c r="X28" s="136"/>
      <c r="Y28" s="136"/>
      <c r="Z28" s="136"/>
      <c r="AA28" s="136"/>
      <c r="AB28" s="136"/>
      <c r="AC28" s="136"/>
      <c r="AD28" s="136"/>
      <c r="AE28" s="136"/>
      <c r="AF28" s="136"/>
      <c r="AG28" s="136"/>
      <c r="AH28" s="136"/>
      <c r="AI28" s="136"/>
      <c r="AJ28" s="136"/>
      <c r="AK28" s="136"/>
      <c r="AL28" s="136"/>
      <c r="AM28" s="136"/>
      <c r="AN28" s="136"/>
      <c r="AO28" s="136"/>
      <c r="AP28" s="136"/>
      <c r="AQ28" s="137"/>
    </row>
    <row r="29" spans="4:43" ht="30">
      <c r="V29" s="12" t="s">
        <v>414</v>
      </c>
      <c r="W29" s="12" t="s">
        <v>358</v>
      </c>
      <c r="X29" s="12" t="s">
        <v>357</v>
      </c>
      <c r="Y29" s="12" t="s">
        <v>356</v>
      </c>
      <c r="Z29" s="12" t="s">
        <v>355</v>
      </c>
      <c r="AA29" s="12" t="s">
        <v>354</v>
      </c>
      <c r="AB29" s="12"/>
      <c r="AC29" s="12"/>
      <c r="AD29" s="12"/>
      <c r="AE29" s="12"/>
      <c r="AF29" s="12"/>
      <c r="AG29" s="12"/>
      <c r="AH29" s="12"/>
      <c r="AI29" s="12"/>
      <c r="AJ29" s="12"/>
      <c r="AK29" s="12"/>
      <c r="AL29" s="12"/>
      <c r="AM29" s="12"/>
      <c r="AN29" s="12" t="s">
        <v>353</v>
      </c>
      <c r="AO29" s="12" t="s">
        <v>352</v>
      </c>
      <c r="AP29" s="12" t="s">
        <v>154</v>
      </c>
      <c r="AQ29" s="12" t="s">
        <v>318</v>
      </c>
    </row>
    <row r="30" spans="4:43">
      <c r="V30" s="11" t="s">
        <v>181</v>
      </c>
      <c r="W30" s="10">
        <f>SUM(M$7:M$10)</f>
        <v>278.35036772182775</v>
      </c>
      <c r="X30" s="10">
        <f>SUM(N$7:N$10)</f>
        <v>786922.30576441088</v>
      </c>
      <c r="Y30" s="10">
        <f>SUM(O$7:O$10)</f>
        <v>8565.5306568868837</v>
      </c>
      <c r="Z30" s="10">
        <f>SUM(P$7:P$10)</f>
        <v>171102.98426382715</v>
      </c>
      <c r="AA30" s="10">
        <f>SUM(Q$7:Q$10)</f>
        <v>1214.7387793387309</v>
      </c>
      <c r="AB30" s="10"/>
      <c r="AC30" s="10"/>
      <c r="AD30" s="10"/>
      <c r="AE30" s="10"/>
      <c r="AF30" s="10"/>
      <c r="AG30" s="10"/>
      <c r="AH30" s="10"/>
      <c r="AI30" s="10"/>
      <c r="AJ30" s="10"/>
      <c r="AK30" s="10"/>
      <c r="AL30" s="10"/>
      <c r="AM30" s="10"/>
      <c r="AN30" s="10">
        <f>SUM(R$7:R$10)</f>
        <v>1771.9583332437498</v>
      </c>
      <c r="AO30" s="10">
        <f>SUM(S$7:S$10)</f>
        <v>31092.237560192618</v>
      </c>
      <c r="AP30" s="10">
        <f>SUM(W30:AO30)</f>
        <v>1000948.1057256219</v>
      </c>
      <c r="AQ30" s="10">
        <f>(AP30/$AP$35)*100</f>
        <v>26.089032722302186</v>
      </c>
    </row>
    <row r="31" spans="4:43">
      <c r="V31" s="11" t="s">
        <v>205</v>
      </c>
      <c r="W31" s="10">
        <f>SUM(M$11:M$13)</f>
        <v>242.16269115957866</v>
      </c>
      <c r="X31" s="10">
        <f>SUM(N$11:N$13)</f>
        <v>148877.19298245615</v>
      </c>
      <c r="Y31" s="10">
        <f>SUM(O$11:O$13)</f>
        <v>6063.3882726577394</v>
      </c>
      <c r="Z31" s="10">
        <f>SUM(P$11:P$13)</f>
        <v>119912.00321630997</v>
      </c>
      <c r="AA31" s="10">
        <f>SUM(Q$11:Q$13)</f>
        <v>1575.862484953645</v>
      </c>
      <c r="AB31" s="10"/>
      <c r="AC31" s="10"/>
      <c r="AD31" s="10"/>
      <c r="AE31" s="10"/>
      <c r="AF31" s="10"/>
      <c r="AG31" s="10"/>
      <c r="AH31" s="10"/>
      <c r="AI31" s="10"/>
      <c r="AJ31" s="10"/>
      <c r="AK31" s="10"/>
      <c r="AL31" s="10"/>
      <c r="AM31" s="10"/>
      <c r="AN31" s="10">
        <f>SUM(R$11:R$13)</f>
        <v>6593.3333330000014</v>
      </c>
      <c r="AO31" s="10">
        <f>SUM(S$11:S$13)</f>
        <v>11951.6404494382</v>
      </c>
      <c r="AP31" s="10">
        <f>SUM(W31:AO31)</f>
        <v>295215.58342997526</v>
      </c>
      <c r="AQ31" s="10">
        <f>(AP31/$AP$35)*100</f>
        <v>7.6945937278684289</v>
      </c>
    </row>
    <row r="32" spans="4:43">
      <c r="V32" s="11" t="s">
        <v>200</v>
      </c>
      <c r="W32" s="10">
        <f>SUM(M$14:M$17)</f>
        <v>227.62874515918361</v>
      </c>
      <c r="X32" s="10">
        <f>SUM(N$14:N$17)</f>
        <v>914531.32832080196</v>
      </c>
      <c r="Y32" s="10">
        <f>SUM(O$14:O$17)</f>
        <v>14171.77914604157</v>
      </c>
      <c r="Z32" s="10">
        <f>SUM(P$14:P$17)</f>
        <v>109791.83138704278</v>
      </c>
      <c r="AA32" s="10">
        <f>SUM(Q$14:Q$17)</f>
        <v>1881.7615169382759</v>
      </c>
      <c r="AB32" s="10"/>
      <c r="AC32" s="10"/>
      <c r="AD32" s="10"/>
      <c r="AE32" s="10"/>
      <c r="AF32" s="10"/>
      <c r="AG32" s="10"/>
      <c r="AH32" s="10"/>
      <c r="AI32" s="10"/>
      <c r="AJ32" s="10"/>
      <c r="AK32" s="10"/>
      <c r="AL32" s="10"/>
      <c r="AM32" s="10"/>
      <c r="AN32" s="10">
        <f>SUM(R$14:R$17)</f>
        <v>2266.4583332187503</v>
      </c>
      <c r="AO32" s="10">
        <f>SUM(S$14:S$17)</f>
        <v>28755.826645264846</v>
      </c>
      <c r="AP32" s="10">
        <f>SUM(W32:AO32)</f>
        <v>1071626.6140944671</v>
      </c>
      <c r="AQ32" s="10">
        <f>(AP32/$AP$35)*100</f>
        <v>27.931220051545974</v>
      </c>
    </row>
    <row r="33" spans="22:54">
      <c r="V33" s="11" t="s">
        <v>272</v>
      </c>
      <c r="W33" s="10">
        <f>SUM(M$18:M$20)</f>
        <v>278.35036772182775</v>
      </c>
      <c r="X33" s="10">
        <f>SUM(N$18:N$20)</f>
        <v>552972.43107769417</v>
      </c>
      <c r="Y33" s="10">
        <f>SUM(O$18:O$20)</f>
        <v>6071.533857393295</v>
      </c>
      <c r="Z33" s="10">
        <f>SUM(P$18:P$20)</f>
        <v>40464.875588187264</v>
      </c>
      <c r="AA33" s="10">
        <f>SUM(Q$18:Q$20)</f>
        <v>1095.4058729277217</v>
      </c>
      <c r="AB33" s="10"/>
      <c r="AC33" s="10"/>
      <c r="AD33" s="10"/>
      <c r="AE33" s="10"/>
      <c r="AF33" s="10"/>
      <c r="AG33" s="10"/>
      <c r="AH33" s="10"/>
      <c r="AI33" s="10"/>
      <c r="AJ33" s="10"/>
      <c r="AK33" s="10"/>
      <c r="AL33" s="10"/>
      <c r="AM33" s="10"/>
      <c r="AN33" s="10">
        <f>SUM(R$18:R$20)</f>
        <v>700.54166663124988</v>
      </c>
      <c r="AO33" s="10">
        <f>SUM(S$18:S$20)</f>
        <v>32709.752808988764</v>
      </c>
      <c r="AP33" s="10">
        <f>SUM(W33:AO33)</f>
        <v>634292.89123954438</v>
      </c>
      <c r="AQ33" s="10">
        <f>(AP33/$AP$35)*100</f>
        <v>16.532413519156272</v>
      </c>
    </row>
    <row r="34" spans="22:54">
      <c r="V34" s="11" t="s">
        <v>271</v>
      </c>
      <c r="W34" s="10">
        <f>SUM(M$21:M$23)</f>
        <v>242.16269115957866</v>
      </c>
      <c r="X34" s="10">
        <f>SUM(N$21:N$23)</f>
        <v>425363.40852130321</v>
      </c>
      <c r="Y34" s="10">
        <f>SUM(O$21:O$23)</f>
        <v>8335.8340629963641</v>
      </c>
      <c r="Z34" s="10">
        <f>SUM(P$21:P$23)</f>
        <v>387433.30554463272</v>
      </c>
      <c r="AA34" s="10">
        <f>SUM(Q$21:Q$23)</f>
        <v>3232.2313458416256</v>
      </c>
      <c r="AB34" s="10"/>
      <c r="AC34" s="10"/>
      <c r="AD34" s="10"/>
      <c r="AE34" s="10"/>
      <c r="AF34" s="10"/>
      <c r="AG34" s="10"/>
      <c r="AH34" s="10"/>
      <c r="AI34" s="10"/>
      <c r="AJ34" s="10"/>
      <c r="AK34" s="10"/>
      <c r="AL34" s="10"/>
      <c r="AM34" s="10"/>
      <c r="AN34" s="10">
        <f>SUM(R$21:R$23)</f>
        <v>2513.7083332062498</v>
      </c>
      <c r="AO34" s="10">
        <f>SUM(S$21:S$23)</f>
        <v>7458.5425361155694</v>
      </c>
      <c r="AP34" s="10">
        <f>SUM(W34:AO34)</f>
        <v>834579.19303525542</v>
      </c>
      <c r="AQ34" s="10">
        <f>(AP34/$AP$35)*100</f>
        <v>21.752739979127153</v>
      </c>
    </row>
    <row r="35" spans="22:54">
      <c r="V35" s="9" t="s">
        <v>230</v>
      </c>
      <c r="W35" s="8">
        <f>SUM(W30:W34)</f>
        <v>1268.6548629219965</v>
      </c>
      <c r="X35" s="8">
        <f>SUM(X30:X34)</f>
        <v>2828666.666666666</v>
      </c>
      <c r="Y35" s="8">
        <f>SUM(Y30:Y34)</f>
        <v>43208.065995975856</v>
      </c>
      <c r="Z35" s="8">
        <f>SUM(Z30:Z34)</f>
        <v>828704.99999999988</v>
      </c>
      <c r="AA35" s="8">
        <f>SUM(AA30:AA34)</f>
        <v>9000</v>
      </c>
      <c r="AB35" s="8"/>
      <c r="AC35" s="8"/>
      <c r="AD35" s="8"/>
      <c r="AE35" s="8"/>
      <c r="AF35" s="8"/>
      <c r="AG35" s="8"/>
      <c r="AH35" s="8"/>
      <c r="AI35" s="8"/>
      <c r="AJ35" s="8"/>
      <c r="AK35" s="8"/>
      <c r="AL35" s="8"/>
      <c r="AM35" s="8"/>
      <c r="AN35" s="8">
        <f>SUM(AN30:AN34)</f>
        <v>13845.999999300002</v>
      </c>
      <c r="AO35" s="8">
        <f>SUM(AO30:AO34)</f>
        <v>111968</v>
      </c>
      <c r="AP35" s="8">
        <f>SUM(AP30:AP34)</f>
        <v>3836662.3875248637</v>
      </c>
      <c r="AQ35" s="37"/>
    </row>
    <row r="36" spans="22:54">
      <c r="V36" s="9" t="s">
        <v>317</v>
      </c>
      <c r="W36" s="38">
        <f>(W35/$AP$35)*100</f>
        <v>3.3066627573150646E-2</v>
      </c>
      <c r="X36" s="10">
        <f>(X35/$AP$35)*100</f>
        <v>73.727275974666</v>
      </c>
      <c r="Y36" s="10">
        <f>(Y35/$AP$35)*100</f>
        <v>1.1261889014907711</v>
      </c>
      <c r="Z36" s="10">
        <f>(Z35/$AP$35)*100</f>
        <v>21.599633126297054</v>
      </c>
      <c r="AA36" s="38">
        <f>(AA35/$AP$35)*100</f>
        <v>0.23457888891303119</v>
      </c>
      <c r="AB36" s="38"/>
      <c r="AC36" s="38"/>
      <c r="AD36" s="38"/>
      <c r="AE36" s="38"/>
      <c r="AF36" s="38"/>
      <c r="AG36" s="38"/>
      <c r="AH36" s="38"/>
      <c r="AI36" s="38"/>
      <c r="AJ36" s="38"/>
      <c r="AK36" s="38"/>
      <c r="AL36" s="38"/>
      <c r="AM36" s="38"/>
      <c r="AN36" s="38">
        <f>(AN35/$AP$35)*100</f>
        <v>0.36088658841395832</v>
      </c>
      <c r="AO36" s="10">
        <f>(AO35/$AP$35)*100</f>
        <v>2.9183698926460306</v>
      </c>
      <c r="AP36" s="36"/>
      <c r="AQ36" s="36"/>
    </row>
    <row r="37" spans="22:54" ht="36" customHeight="1">
      <c r="AS37" s="135" t="s">
        <v>418</v>
      </c>
      <c r="AT37" s="136"/>
      <c r="AU37" s="136"/>
      <c r="AV37" s="136"/>
      <c r="AW37" s="136"/>
      <c r="AX37" s="136"/>
      <c r="AY37" s="136"/>
      <c r="AZ37" s="137"/>
    </row>
    <row r="38" spans="22:54" ht="45">
      <c r="AP38" s="6">
        <f>SUM(AP30:AP34)</f>
        <v>3836662.3875248637</v>
      </c>
      <c r="AS38" s="12" t="s">
        <v>278</v>
      </c>
      <c r="AT38" s="12" t="s">
        <v>358</v>
      </c>
      <c r="AU38" s="12" t="s">
        <v>356</v>
      </c>
      <c r="AV38" s="12" t="s">
        <v>354</v>
      </c>
      <c r="AW38" s="12" t="s">
        <v>353</v>
      </c>
      <c r="AX38" s="12" t="s">
        <v>352</v>
      </c>
      <c r="AY38" s="12" t="s">
        <v>154</v>
      </c>
      <c r="AZ38" s="12" t="s">
        <v>318</v>
      </c>
    </row>
    <row r="39" spans="22:54">
      <c r="AS39" s="11" t="s">
        <v>181</v>
      </c>
      <c r="AT39" s="10">
        <v>278.35036772182775</v>
      </c>
      <c r="AU39" s="10">
        <v>8565.5306568868837</v>
      </c>
      <c r="AV39" s="10">
        <v>1214.7387793387309</v>
      </c>
      <c r="AW39" s="10">
        <v>1771.9583332437498</v>
      </c>
      <c r="AX39" s="10">
        <v>31092.237560192618</v>
      </c>
      <c r="AY39" s="10">
        <f>SUM(AT39:AX39)</f>
        <v>42922.815697383812</v>
      </c>
      <c r="AZ39" s="10">
        <f>(AY39/$AY$44)*100</f>
        <v>23.940344202939393</v>
      </c>
    </row>
    <row r="40" spans="22:54">
      <c r="AC40" s="5" t="s">
        <v>417</v>
      </c>
      <c r="AS40" s="11" t="s">
        <v>205</v>
      </c>
      <c r="AT40" s="10">
        <v>242.16269115957866</v>
      </c>
      <c r="AU40" s="10">
        <v>6063.3882726577394</v>
      </c>
      <c r="AV40" s="10">
        <v>1575.862484953645</v>
      </c>
      <c r="AW40" s="10">
        <v>6593.3333330000014</v>
      </c>
      <c r="AX40" s="10">
        <v>11951.6404494382</v>
      </c>
      <c r="AY40" s="10">
        <f>SUM(AT40:AX40)</f>
        <v>26426.387231209166</v>
      </c>
      <c r="AZ40" s="10">
        <f>(AY40/$AY$44)*100</f>
        <v>14.739405979693709</v>
      </c>
    </row>
    <row r="41" spans="22:54">
      <c r="AS41" s="11" t="s">
        <v>200</v>
      </c>
      <c r="AT41" s="10">
        <v>227.62874515918361</v>
      </c>
      <c r="AU41" s="10">
        <v>14171.77914604157</v>
      </c>
      <c r="AV41" s="10">
        <v>1881.7615169382759</v>
      </c>
      <c r="AW41" s="10">
        <v>2266.4583332187503</v>
      </c>
      <c r="AX41" s="10">
        <v>28755.826645264846</v>
      </c>
      <c r="AY41" s="10">
        <f>SUM(AT41:AX41)</f>
        <v>47303.454386622623</v>
      </c>
      <c r="AZ41" s="10">
        <f>(AY41/$AY$44)*100</f>
        <v>26.383660102541068</v>
      </c>
    </row>
    <row r="42" spans="22:54">
      <c r="AS42" s="11" t="s">
        <v>272</v>
      </c>
      <c r="AT42" s="10">
        <v>278.35036772182775</v>
      </c>
      <c r="AU42" s="10">
        <v>6071.533857393295</v>
      </c>
      <c r="AV42" s="10">
        <v>1095.4058729277217</v>
      </c>
      <c r="AW42" s="10">
        <v>700.54166663124988</v>
      </c>
      <c r="AX42" s="10">
        <v>32709.752808988764</v>
      </c>
      <c r="AY42" s="10">
        <f>SUM(AT42:AX42)</f>
        <v>40855.584573662854</v>
      </c>
      <c r="AZ42" s="10">
        <f>(AY42/$AY$44)*100</f>
        <v>22.787339120564859</v>
      </c>
    </row>
    <row r="43" spans="22:54">
      <c r="AS43" s="11" t="s">
        <v>271</v>
      </c>
      <c r="AT43" s="10">
        <v>242.16269115957866</v>
      </c>
      <c r="AU43" s="10">
        <v>8335.8340629963641</v>
      </c>
      <c r="AV43" s="10">
        <v>3232.2313458416256</v>
      </c>
      <c r="AW43" s="10">
        <v>2513.7083332062498</v>
      </c>
      <c r="AX43" s="10">
        <v>7458.5425361155694</v>
      </c>
      <c r="AY43" s="10">
        <f>SUM(AT43:AX43)</f>
        <v>21782.478969319389</v>
      </c>
      <c r="AZ43" s="10">
        <f>(AY43/$AY$44)*100</f>
        <v>12.149250594260977</v>
      </c>
    </row>
    <row r="44" spans="22:54">
      <c r="AS44" s="11" t="s">
        <v>230</v>
      </c>
      <c r="AT44" s="10">
        <f t="shared" ref="AT44:AY44" si="19">SUM(AT39:AT43)</f>
        <v>1268.6548629219965</v>
      </c>
      <c r="AU44" s="10">
        <f t="shared" si="19"/>
        <v>43208.065995975856</v>
      </c>
      <c r="AV44" s="10">
        <f t="shared" si="19"/>
        <v>9000</v>
      </c>
      <c r="AW44" s="10">
        <f t="shared" si="19"/>
        <v>13845.999999300002</v>
      </c>
      <c r="AX44" s="10">
        <f t="shared" si="19"/>
        <v>111968</v>
      </c>
      <c r="AY44" s="10">
        <f t="shared" si="19"/>
        <v>179290.72085819783</v>
      </c>
      <c r="AZ44" s="30"/>
    </row>
    <row r="45" spans="22:54">
      <c r="AS45" s="11" t="s">
        <v>317</v>
      </c>
      <c r="AT45" s="16">
        <f>(AT44/$AY$44)*100</f>
        <v>0.70759649849664208</v>
      </c>
      <c r="AU45" s="10">
        <f>(AU44/$AY$44)*100</f>
        <v>24.09944351227713</v>
      </c>
      <c r="AV45" s="16">
        <f>(AV44/$AY$44)*100</f>
        <v>5.0197801408351506</v>
      </c>
      <c r="AW45" s="16">
        <f>(AW44/$AY$44)*100</f>
        <v>7.7226528696099628</v>
      </c>
      <c r="AX45" s="10">
        <f>(AX44/$AY$44)*100</f>
        <v>62.450526978781127</v>
      </c>
      <c r="AY45" s="30"/>
      <c r="AZ45" s="33"/>
    </row>
    <row r="47" spans="22:54">
      <c r="BB47" s="6">
        <f>$W$30</f>
        <v>278.35036772182775</v>
      </c>
    </row>
    <row r="48" spans="22:54">
      <c r="AY48" s="6">
        <f>SUM(AT44:AX44)</f>
        <v>179290.72085819786</v>
      </c>
    </row>
    <row r="49" spans="56:76">
      <c r="BD49" s="135" t="s">
        <v>416</v>
      </c>
      <c r="BE49" s="136"/>
      <c r="BF49" s="136"/>
      <c r="BG49" s="136"/>
      <c r="BH49" s="136"/>
      <c r="BI49" s="136"/>
      <c r="BJ49" s="136"/>
      <c r="BK49" s="136"/>
      <c r="BL49" s="136"/>
      <c r="BM49" s="137"/>
    </row>
    <row r="50" spans="56:76" ht="45">
      <c r="BD50" s="12" t="s">
        <v>278</v>
      </c>
      <c r="BE50" s="12" t="s">
        <v>358</v>
      </c>
      <c r="BF50" s="12" t="s">
        <v>357</v>
      </c>
      <c r="BG50" s="12" t="s">
        <v>356</v>
      </c>
      <c r="BH50" s="12" t="s">
        <v>355</v>
      </c>
      <c r="BI50" s="12" t="s">
        <v>354</v>
      </c>
      <c r="BJ50" s="12" t="s">
        <v>353</v>
      </c>
      <c r="BK50" s="12" t="s">
        <v>352</v>
      </c>
      <c r="BL50" s="12" t="s">
        <v>154</v>
      </c>
      <c r="BM50" s="12" t="s">
        <v>318</v>
      </c>
    </row>
    <row r="51" spans="56:76">
      <c r="BD51" s="11" t="s">
        <v>181</v>
      </c>
      <c r="BE51" s="10">
        <f t="shared" ref="BE51:BK51" si="20">SUM(U7:U10)</f>
        <v>97.422628702639699</v>
      </c>
      <c r="BF51" s="10">
        <f t="shared" si="20"/>
        <v>157384.4611528822</v>
      </c>
      <c r="BG51" s="10">
        <f t="shared" si="20"/>
        <v>2997.935729910409</v>
      </c>
      <c r="BH51" s="10">
        <f t="shared" si="20"/>
        <v>17110.298426382717</v>
      </c>
      <c r="BI51" s="10">
        <f t="shared" si="20"/>
        <v>1214.7387793387309</v>
      </c>
      <c r="BJ51" s="10">
        <f t="shared" si="20"/>
        <v>1417.5666665949998</v>
      </c>
      <c r="BK51" s="10">
        <f t="shared" si="20"/>
        <v>24873.790048154096</v>
      </c>
      <c r="BL51" s="10">
        <f>SUM(BE51:BK51)</f>
        <v>205096.21343196579</v>
      </c>
      <c r="BM51" s="10">
        <f>(BL51/$BL$56)*100</f>
        <v>26.504318014227618</v>
      </c>
    </row>
    <row r="52" spans="56:76">
      <c r="BD52" s="11" t="s">
        <v>205</v>
      </c>
      <c r="BE52" s="10">
        <f t="shared" ref="BE52:BK52" si="21">SUM(U11:U13)</f>
        <v>84.756941905852528</v>
      </c>
      <c r="BF52" s="10">
        <f t="shared" si="21"/>
        <v>29775.438596491233</v>
      </c>
      <c r="BG52" s="10">
        <f t="shared" si="21"/>
        <v>2122.1858954302083</v>
      </c>
      <c r="BH52" s="10">
        <f t="shared" si="21"/>
        <v>11991.200321630999</v>
      </c>
      <c r="BI52" s="10">
        <f t="shared" si="21"/>
        <v>1575.862484953645</v>
      </c>
      <c r="BJ52" s="10">
        <f t="shared" si="21"/>
        <v>5274.6666664000004</v>
      </c>
      <c r="BK52" s="10">
        <f t="shared" si="21"/>
        <v>9561.3123595505622</v>
      </c>
      <c r="BL52" s="10">
        <f>SUM(BE52:BK52)</f>
        <v>60385.423266362493</v>
      </c>
      <c r="BM52" s="10">
        <f>(BL52/$BL$56)*100</f>
        <v>7.8035300354597616</v>
      </c>
    </row>
    <row r="53" spans="56:76">
      <c r="BD53" s="11" t="s">
        <v>200</v>
      </c>
      <c r="BE53" s="10">
        <f t="shared" ref="BE53:BK53" si="22">SUM(U14:U17)</f>
        <v>79.670060805714257</v>
      </c>
      <c r="BF53" s="10">
        <f t="shared" si="22"/>
        <v>182906.26566416043</v>
      </c>
      <c r="BG53" s="10">
        <f t="shared" si="22"/>
        <v>4960.1227011145493</v>
      </c>
      <c r="BH53" s="10">
        <f t="shared" si="22"/>
        <v>10979.183138704278</v>
      </c>
      <c r="BI53" s="10">
        <f t="shared" si="22"/>
        <v>1881.7615169382759</v>
      </c>
      <c r="BJ53" s="10">
        <f t="shared" si="22"/>
        <v>1813.1666665750004</v>
      </c>
      <c r="BK53" s="10">
        <f t="shared" si="22"/>
        <v>23004.661316211881</v>
      </c>
      <c r="BL53" s="10">
        <f>SUM(BE53:BK53)</f>
        <v>225624.83106451013</v>
      </c>
      <c r="BM53" s="10">
        <f>(BL53/$BL$56)*100</f>
        <v>29.157204681518152</v>
      </c>
    </row>
    <row r="54" spans="56:76">
      <c r="BD54" s="11" t="s">
        <v>272</v>
      </c>
      <c r="BE54" s="10">
        <f t="shared" ref="BE54:BK54" si="23">SUM(U18:U20)</f>
        <v>97.422628702639713</v>
      </c>
      <c r="BF54" s="10">
        <f t="shared" si="23"/>
        <v>110594.48621553884</v>
      </c>
      <c r="BG54" s="10">
        <f t="shared" si="23"/>
        <v>2125.036850087653</v>
      </c>
      <c r="BH54" s="10">
        <f t="shared" si="23"/>
        <v>4046.487558818726</v>
      </c>
      <c r="BI54" s="10">
        <f t="shared" si="23"/>
        <v>1095.4058729277217</v>
      </c>
      <c r="BJ54" s="10">
        <f t="shared" si="23"/>
        <v>560.43333330500002</v>
      </c>
      <c r="BK54" s="10">
        <f t="shared" si="23"/>
        <v>26167.802247191015</v>
      </c>
      <c r="BL54" s="10">
        <f>SUM(BE54:BK54)</f>
        <v>144687.07470657158</v>
      </c>
      <c r="BM54" s="10">
        <f>(BL54/$BL$56)*100</f>
        <v>18.697723260714255</v>
      </c>
    </row>
    <row r="55" spans="56:76">
      <c r="BD55" s="11" t="s">
        <v>271</v>
      </c>
      <c r="BE55" s="10">
        <f t="shared" ref="BE55:BK55" si="24">SUM(U21:U23)</f>
        <v>84.756941905852528</v>
      </c>
      <c r="BF55" s="10">
        <f t="shared" si="24"/>
        <v>85072.681704260642</v>
      </c>
      <c r="BG55" s="10">
        <f t="shared" si="24"/>
        <v>2917.5419220487274</v>
      </c>
      <c r="BH55" s="10">
        <f t="shared" si="24"/>
        <v>38743.330554463275</v>
      </c>
      <c r="BI55" s="10">
        <f t="shared" si="24"/>
        <v>3232.2313458416256</v>
      </c>
      <c r="BJ55" s="10">
        <f t="shared" si="24"/>
        <v>2010.9666665650002</v>
      </c>
      <c r="BK55" s="10">
        <f t="shared" si="24"/>
        <v>5966.8340288924564</v>
      </c>
      <c r="BL55" s="10">
        <f>SUM(BE55:BK55)</f>
        <v>138028.34316397758</v>
      </c>
      <c r="BM55" s="10">
        <f>(BL55/$BL$56)*100</f>
        <v>17.837224008080206</v>
      </c>
    </row>
    <row r="56" spans="56:76">
      <c r="BD56" s="11" t="s">
        <v>230</v>
      </c>
      <c r="BE56" s="10">
        <f t="shared" ref="BE56:BL56" si="25">SUM(BE51:BE55)</f>
        <v>444.02920202269866</v>
      </c>
      <c r="BF56" s="10">
        <f t="shared" si="25"/>
        <v>565733.33333333337</v>
      </c>
      <c r="BG56" s="10">
        <f t="shared" si="25"/>
        <v>15122.823098591547</v>
      </c>
      <c r="BH56" s="10">
        <f t="shared" si="25"/>
        <v>82870.5</v>
      </c>
      <c r="BI56" s="10">
        <f t="shared" si="25"/>
        <v>9000</v>
      </c>
      <c r="BJ56" s="10">
        <f t="shared" si="25"/>
        <v>11076.79999944</v>
      </c>
      <c r="BK56" s="10">
        <f t="shared" si="25"/>
        <v>89574.400000000009</v>
      </c>
      <c r="BL56" s="10">
        <f t="shared" si="25"/>
        <v>773821.8856333876</v>
      </c>
      <c r="BM56" s="30"/>
      <c r="BN56" s="6">
        <f>SUM(BM51:BM55)</f>
        <v>100</v>
      </c>
    </row>
    <row r="57" spans="56:76">
      <c r="BD57" s="11" t="s">
        <v>317</v>
      </c>
      <c r="BE57" s="16">
        <f t="shared" ref="BE57:BK57" si="26">(BE56/$BL$56)*100</f>
        <v>5.7381318655681662E-2</v>
      </c>
      <c r="BF57" s="16">
        <f t="shared" si="26"/>
        <v>73.108985909628302</v>
      </c>
      <c r="BG57" s="16">
        <f t="shared" si="26"/>
        <v>1.9543028414365968</v>
      </c>
      <c r="BH57" s="16">
        <f t="shared" si="26"/>
        <v>10.709247378312254</v>
      </c>
      <c r="BI57" s="16">
        <f t="shared" si="26"/>
        <v>1.1630583428941574</v>
      </c>
      <c r="BJ57" s="16">
        <f t="shared" si="26"/>
        <v>1.4314405168798545</v>
      </c>
      <c r="BK57" s="16">
        <f t="shared" si="26"/>
        <v>11.57558369219316</v>
      </c>
      <c r="BL57" s="30"/>
      <c r="BM57" s="33"/>
    </row>
    <row r="59" spans="56:76" ht="38.25" customHeight="1">
      <c r="BL59" s="7">
        <f>SUM(BE57:BK57)</f>
        <v>100.00000000000003</v>
      </c>
      <c r="BP59" s="135" t="s">
        <v>415</v>
      </c>
      <c r="BQ59" s="136"/>
      <c r="BR59" s="136"/>
      <c r="BS59" s="136"/>
      <c r="BT59" s="136"/>
      <c r="BU59" s="136"/>
      <c r="BV59" s="136"/>
      <c r="BW59" s="136"/>
      <c r="BX59" s="137"/>
    </row>
    <row r="60" spans="56:76" ht="45">
      <c r="BP60" s="12" t="s">
        <v>278</v>
      </c>
      <c r="BQ60" s="12" t="s">
        <v>358</v>
      </c>
      <c r="BR60" s="12" t="s">
        <v>356</v>
      </c>
      <c r="BS60" s="12" t="s">
        <v>355</v>
      </c>
      <c r="BT60" s="12" t="s">
        <v>354</v>
      </c>
      <c r="BU60" s="12" t="s">
        <v>353</v>
      </c>
      <c r="BV60" s="12" t="s">
        <v>352</v>
      </c>
      <c r="BW60" s="12" t="s">
        <v>154</v>
      </c>
      <c r="BX60" s="12" t="s">
        <v>318</v>
      </c>
    </row>
    <row r="61" spans="56:76">
      <c r="BP61" s="11" t="s">
        <v>181</v>
      </c>
      <c r="BQ61" s="10">
        <v>139.17518386091388</v>
      </c>
      <c r="BR61" s="10">
        <v>1713.1061313773769</v>
      </c>
      <c r="BS61" s="10">
        <v>171.10298426382715</v>
      </c>
      <c r="BT61" s="10">
        <v>12.147387793387308</v>
      </c>
      <c r="BU61" s="10">
        <v>1683.3604165815623</v>
      </c>
      <c r="BV61" s="10">
        <v>24873.790048154096</v>
      </c>
      <c r="BW61" s="10">
        <f>SUM(BQ61:BU61)</f>
        <v>3718.8921038770677</v>
      </c>
      <c r="BX61" s="10">
        <f>(BW61/$BW$66)*100</f>
        <v>15.927861283242764</v>
      </c>
    </row>
    <row r="62" spans="56:76">
      <c r="BP62" s="11" t="s">
        <v>205</v>
      </c>
      <c r="BQ62" s="10">
        <v>121.08134557978933</v>
      </c>
      <c r="BR62" s="10">
        <v>1212.6776545315479</v>
      </c>
      <c r="BS62" s="10">
        <v>119.91200321630998</v>
      </c>
      <c r="BT62" s="10">
        <v>15.758624849536449</v>
      </c>
      <c r="BU62" s="10">
        <v>6263.66666635</v>
      </c>
      <c r="BV62" s="10">
        <v>9561.3123595505622</v>
      </c>
      <c r="BW62" s="10">
        <f>SUM(BQ62:BU62)</f>
        <v>7733.096294527184</v>
      </c>
      <c r="BX62" s="10">
        <f>(BW62/$BW$66)*100</f>
        <v>33.120532037156195</v>
      </c>
    </row>
    <row r="63" spans="56:76">
      <c r="BP63" s="11" t="s">
        <v>200</v>
      </c>
      <c r="BQ63" s="10">
        <v>113.8143725795918</v>
      </c>
      <c r="BR63" s="10">
        <v>2834.3558292083144</v>
      </c>
      <c r="BS63" s="10">
        <v>109.79183138704278</v>
      </c>
      <c r="BT63" s="10">
        <v>18.817615169382762</v>
      </c>
      <c r="BU63" s="10">
        <v>2153.1354165578127</v>
      </c>
      <c r="BV63" s="10">
        <v>23004.661316211881</v>
      </c>
      <c r="BW63" s="10">
        <f>SUM(BQ63:BU63)</f>
        <v>5229.9150649021449</v>
      </c>
      <c r="BX63" s="10">
        <f>(BW63/$BW$66)*100</f>
        <v>22.399510217050537</v>
      </c>
    </row>
    <row r="64" spans="56:76">
      <c r="BP64" s="11" t="s">
        <v>272</v>
      </c>
      <c r="BQ64" s="10">
        <v>139.17518386091388</v>
      </c>
      <c r="BR64" s="10">
        <v>1214.3067714786591</v>
      </c>
      <c r="BS64" s="10">
        <v>40.464875588187262</v>
      </c>
      <c r="BT64" s="10">
        <v>10.954058729277218</v>
      </c>
      <c r="BU64" s="10">
        <v>665.51458329968739</v>
      </c>
      <c r="BV64" s="10">
        <v>26167.802247191015</v>
      </c>
      <c r="BW64" s="10">
        <f>SUM(BQ64:BU64)</f>
        <v>2070.4154729567249</v>
      </c>
      <c r="BX64" s="10">
        <f>(BW64/$BW$66)*100</f>
        <v>8.8675039583843436</v>
      </c>
    </row>
    <row r="65" spans="68:99">
      <c r="BP65" s="11" t="s">
        <v>271</v>
      </c>
      <c r="BQ65" s="10">
        <v>121.08134557978933</v>
      </c>
      <c r="BR65" s="10">
        <v>1667.166812599273</v>
      </c>
      <c r="BS65" s="10">
        <v>387.43330554463279</v>
      </c>
      <c r="BT65" s="10">
        <v>32.322313458416261</v>
      </c>
      <c r="BU65" s="10">
        <v>2388.0229165459373</v>
      </c>
      <c r="BV65" s="10">
        <v>5966.8340288924564</v>
      </c>
      <c r="BW65" s="10">
        <f>SUM(BQ65:BU65)</f>
        <v>4596.0266937280485</v>
      </c>
      <c r="BX65" s="10">
        <f>(BW65/$BW$66)*100</f>
        <v>19.684592504166158</v>
      </c>
      <c r="BY65" s="6">
        <f>SUM(BX61:BX65)</f>
        <v>100</v>
      </c>
    </row>
    <row r="66" spans="68:99">
      <c r="BP66" s="11" t="s">
        <v>230</v>
      </c>
      <c r="BQ66" s="10">
        <f>SUM(BQ61:BQ65)</f>
        <v>634.32743146099824</v>
      </c>
      <c r="BR66" s="10">
        <f>SUM(BR61:BR65)</f>
        <v>8641.6131991951715</v>
      </c>
      <c r="BS66" s="10">
        <f>SUM(BS61:BS65)</f>
        <v>828.70499999999993</v>
      </c>
      <c r="BT66" s="10">
        <f>SUM(BT61:BT65)</f>
        <v>90</v>
      </c>
      <c r="BU66" s="10">
        <f>SUM(BU61:BU65)</f>
        <v>13153.699999335</v>
      </c>
      <c r="BV66" s="10">
        <v>89574.400000000009</v>
      </c>
      <c r="BW66" s="10">
        <f>SUM(BW61:BW65)</f>
        <v>23348.34562999117</v>
      </c>
      <c r="BX66" s="30"/>
    </row>
    <row r="67" spans="68:99">
      <c r="BP67" s="11" t="s">
        <v>317</v>
      </c>
      <c r="BQ67" s="16">
        <f>(BQ66/$BW$66)*100</f>
        <v>2.7167981899591149</v>
      </c>
      <c r="BR67" s="16">
        <f>(BR66/$BW$66)*100</f>
        <v>37.011672416288619</v>
      </c>
      <c r="BS67" s="16">
        <f>(BS66/$BW$66)*100</f>
        <v>3.5493092878303143</v>
      </c>
      <c r="BT67" s="16">
        <f>(BT66/$BW$66)*100</f>
        <v>0.38546628282045881</v>
      </c>
      <c r="BU67" s="16">
        <f>(BU66/$BW$66)*100</f>
        <v>56.336753823101496</v>
      </c>
      <c r="BV67" s="16"/>
      <c r="BW67" s="30"/>
      <c r="BX67" s="33"/>
    </row>
    <row r="69" spans="68:99">
      <c r="BW69" s="7">
        <f>SUM(BQ67:BU67)</f>
        <v>100</v>
      </c>
    </row>
    <row r="70" spans="68:99">
      <c r="CB70" s="12"/>
      <c r="CC70" s="135" t="s">
        <v>405</v>
      </c>
      <c r="CD70" s="136"/>
      <c r="CE70" s="136"/>
      <c r="CF70" s="136"/>
      <c r="CG70" s="136"/>
      <c r="CH70" s="136"/>
      <c r="CI70" s="136"/>
      <c r="CJ70" s="136"/>
      <c r="CK70" s="137"/>
    </row>
    <row r="71" spans="68:99" ht="45">
      <c r="CB71" s="12" t="s">
        <v>414</v>
      </c>
      <c r="CC71" s="12" t="s">
        <v>358</v>
      </c>
      <c r="CD71" s="12" t="s">
        <v>357</v>
      </c>
      <c r="CE71" s="12" t="s">
        <v>356</v>
      </c>
      <c r="CF71" s="12" t="s">
        <v>355</v>
      </c>
      <c r="CG71" s="12" t="s">
        <v>354</v>
      </c>
      <c r="CH71" s="12" t="s">
        <v>353</v>
      </c>
      <c r="CI71" s="12" t="s">
        <v>352</v>
      </c>
      <c r="CJ71" s="12" t="s">
        <v>154</v>
      </c>
      <c r="CK71" s="12" t="s">
        <v>318</v>
      </c>
    </row>
    <row r="72" spans="68:99">
      <c r="CB72" s="11" t="s">
        <v>181</v>
      </c>
      <c r="CC72" s="10">
        <v>278.35036772182775</v>
      </c>
      <c r="CD72" s="10">
        <v>786922.30576441088</v>
      </c>
      <c r="CE72" s="10">
        <v>8565.5306568868837</v>
      </c>
      <c r="CF72" s="10">
        <v>171102.98426382715</v>
      </c>
      <c r="CG72" s="10">
        <v>1214.7387793387309</v>
      </c>
      <c r="CH72" s="10">
        <v>1771.9583332437498</v>
      </c>
      <c r="CI72" s="10">
        <v>31092.237560192618</v>
      </c>
      <c r="CJ72" s="10">
        <v>1000948.1057256219</v>
      </c>
      <c r="CK72" s="10">
        <v>26.089032722302186</v>
      </c>
    </row>
    <row r="73" spans="68:99">
      <c r="CB73" s="11" t="s">
        <v>205</v>
      </c>
      <c r="CC73" s="10">
        <v>242.16269115957866</v>
      </c>
      <c r="CD73" s="10">
        <v>148877.19298245615</v>
      </c>
      <c r="CE73" s="10">
        <v>6063.3882726577394</v>
      </c>
      <c r="CF73" s="10">
        <v>119912.00321630997</v>
      </c>
      <c r="CG73" s="10">
        <v>1575.862484953645</v>
      </c>
      <c r="CH73" s="10">
        <v>6593.3333330000014</v>
      </c>
      <c r="CI73" s="10">
        <v>11951.6404494382</v>
      </c>
      <c r="CJ73" s="10">
        <v>295215.58342997526</v>
      </c>
      <c r="CK73" s="10">
        <v>7.6945937278684289</v>
      </c>
    </row>
    <row r="74" spans="68:99">
      <c r="CB74" s="11" t="s">
        <v>200</v>
      </c>
      <c r="CC74" s="10">
        <v>227.62874515918361</v>
      </c>
      <c r="CD74" s="10">
        <v>914531.32832080196</v>
      </c>
      <c r="CE74" s="10">
        <v>14171.77914604157</v>
      </c>
      <c r="CF74" s="10">
        <v>109791.83138704278</v>
      </c>
      <c r="CG74" s="10">
        <v>1881.7615169382759</v>
      </c>
      <c r="CH74" s="10">
        <v>2266.4583332187503</v>
      </c>
      <c r="CI74" s="10">
        <v>28755.826645264846</v>
      </c>
      <c r="CJ74" s="10">
        <v>1071626.6140944671</v>
      </c>
      <c r="CK74" s="10">
        <v>27.931220051545974</v>
      </c>
    </row>
    <row r="75" spans="68:99">
      <c r="CB75" s="11" t="s">
        <v>272</v>
      </c>
      <c r="CC75" s="10">
        <v>278.35036772182775</v>
      </c>
      <c r="CD75" s="10">
        <v>552972.43107769417</v>
      </c>
      <c r="CE75" s="10">
        <v>6071.533857393295</v>
      </c>
      <c r="CF75" s="10">
        <v>40464.875588187264</v>
      </c>
      <c r="CG75" s="10">
        <v>1095.4058729277217</v>
      </c>
      <c r="CH75" s="10">
        <v>700.54166663124988</v>
      </c>
      <c r="CI75" s="10">
        <v>32709.752808988764</v>
      </c>
      <c r="CJ75" s="10">
        <v>634292.89123954438</v>
      </c>
      <c r="CK75" s="10">
        <v>16.532413519156272</v>
      </c>
    </row>
    <row r="76" spans="68:99">
      <c r="CB76" s="11" t="s">
        <v>271</v>
      </c>
      <c r="CC76" s="10">
        <v>242.16269115957866</v>
      </c>
      <c r="CD76" s="10">
        <v>425363.40852130321</v>
      </c>
      <c r="CE76" s="10">
        <v>8335.8340629963641</v>
      </c>
      <c r="CF76" s="10">
        <v>387433.30554463272</v>
      </c>
      <c r="CG76" s="10">
        <v>3232.2313458416256</v>
      </c>
      <c r="CH76" s="10">
        <v>2513.7083332062498</v>
      </c>
      <c r="CI76" s="10">
        <v>7458.5425361155694</v>
      </c>
      <c r="CJ76" s="10">
        <v>834579.19303525542</v>
      </c>
      <c r="CK76" s="10">
        <v>21.752739979127153</v>
      </c>
    </row>
    <row r="77" spans="68:99">
      <c r="CB77" s="9" t="s">
        <v>230</v>
      </c>
      <c r="CC77" s="8">
        <v>1268.6548629219965</v>
      </c>
      <c r="CD77" s="8">
        <v>2828666.666666666</v>
      </c>
      <c r="CE77" s="8">
        <v>43208.065995975856</v>
      </c>
      <c r="CF77" s="8">
        <v>828704.99999999988</v>
      </c>
      <c r="CG77" s="8">
        <v>9000</v>
      </c>
      <c r="CH77" s="8">
        <v>13845.999999300002</v>
      </c>
      <c r="CI77" s="8">
        <v>111968</v>
      </c>
      <c r="CJ77" s="8">
        <v>3836662.3875248637</v>
      </c>
      <c r="CK77" s="37"/>
    </row>
    <row r="78" spans="68:99">
      <c r="CB78" s="9" t="s">
        <v>317</v>
      </c>
      <c r="CC78" s="38">
        <v>3.3066627573150646E-2</v>
      </c>
      <c r="CD78" s="10">
        <v>73.727275974666</v>
      </c>
      <c r="CE78" s="10">
        <v>1.1261889014907711</v>
      </c>
      <c r="CF78" s="10">
        <v>21.599633126297054</v>
      </c>
      <c r="CG78" s="38">
        <v>0.23457888891303119</v>
      </c>
      <c r="CH78" s="38">
        <v>0.36088658841395832</v>
      </c>
      <c r="CI78" s="10">
        <v>2.9183698926460306</v>
      </c>
      <c r="CJ78" s="36"/>
      <c r="CK78" s="36"/>
    </row>
    <row r="80" spans="68:99">
      <c r="CM80" s="148"/>
      <c r="CN80" s="135" t="s">
        <v>413</v>
      </c>
      <c r="CO80" s="136"/>
      <c r="CP80" s="136"/>
      <c r="CQ80" s="136"/>
      <c r="CR80" s="136"/>
      <c r="CS80" s="136"/>
      <c r="CT80" s="136"/>
      <c r="CU80" s="137"/>
    </row>
    <row r="81" spans="91:118" ht="45">
      <c r="CM81" s="155"/>
      <c r="CN81" s="22" t="s">
        <v>358</v>
      </c>
      <c r="CO81" s="22" t="s">
        <v>357</v>
      </c>
      <c r="CP81" s="22" t="s">
        <v>356</v>
      </c>
      <c r="CQ81" s="22" t="s">
        <v>355</v>
      </c>
      <c r="CR81" s="22" t="s">
        <v>354</v>
      </c>
      <c r="CS81" s="22" t="s">
        <v>353</v>
      </c>
      <c r="CT81" s="22" t="s">
        <v>352</v>
      </c>
      <c r="CU81" s="55" t="s">
        <v>412</v>
      </c>
    </row>
    <row r="82" spans="91:118">
      <c r="CM82" s="10" t="s">
        <v>181</v>
      </c>
      <c r="CN82" s="10">
        <f t="shared" ref="CN82:CQ86" si="27">CC72*0.1</f>
        <v>27.835036772182775</v>
      </c>
      <c r="CO82" s="10">
        <f t="shared" si="27"/>
        <v>78692.230576441099</v>
      </c>
      <c r="CP82" s="10">
        <f t="shared" si="27"/>
        <v>856.55306568868843</v>
      </c>
      <c r="CQ82" s="10">
        <f t="shared" si="27"/>
        <v>17110.298426382717</v>
      </c>
      <c r="CR82" s="10">
        <f>CG72</f>
        <v>1214.7387793387309</v>
      </c>
      <c r="CS82" s="10">
        <f t="shared" ref="CS82:CT86" si="28">CH72*0.1</f>
        <v>177.195833324375</v>
      </c>
      <c r="CT82" s="10">
        <f t="shared" si="28"/>
        <v>3109.2237560192621</v>
      </c>
      <c r="CU82" s="8">
        <f t="shared" ref="CU82:CU87" si="29">SUM(CN82:CT82)</f>
        <v>101188.07547396707</v>
      </c>
    </row>
    <row r="83" spans="91:118">
      <c r="CM83" s="10" t="s">
        <v>205</v>
      </c>
      <c r="CN83" s="10">
        <f t="shared" si="27"/>
        <v>24.216269115957868</v>
      </c>
      <c r="CO83" s="10">
        <f t="shared" si="27"/>
        <v>14887.719298245616</v>
      </c>
      <c r="CP83" s="10">
        <f t="shared" si="27"/>
        <v>606.33882726577394</v>
      </c>
      <c r="CQ83" s="10">
        <f t="shared" si="27"/>
        <v>11991.200321630997</v>
      </c>
      <c r="CR83" s="10">
        <f>CG73</f>
        <v>1575.862484953645</v>
      </c>
      <c r="CS83" s="10">
        <f t="shared" si="28"/>
        <v>659.33333330000016</v>
      </c>
      <c r="CT83" s="10">
        <f t="shared" si="28"/>
        <v>1195.16404494382</v>
      </c>
      <c r="CU83" s="8">
        <f t="shared" si="29"/>
        <v>30939.834579455812</v>
      </c>
    </row>
    <row r="84" spans="91:118">
      <c r="CM84" s="10" t="s">
        <v>200</v>
      </c>
      <c r="CN84" s="10">
        <f t="shared" si="27"/>
        <v>22.762874515918362</v>
      </c>
      <c r="CO84" s="10">
        <f t="shared" si="27"/>
        <v>91453.132832080199</v>
      </c>
      <c r="CP84" s="10">
        <f t="shared" si="27"/>
        <v>1417.1779146041572</v>
      </c>
      <c r="CQ84" s="10">
        <f t="shared" si="27"/>
        <v>10979.183138704278</v>
      </c>
      <c r="CR84" s="10">
        <f>CG74</f>
        <v>1881.7615169382759</v>
      </c>
      <c r="CS84" s="10">
        <f t="shared" si="28"/>
        <v>226.64583332187505</v>
      </c>
      <c r="CT84" s="10">
        <f t="shared" si="28"/>
        <v>2875.5826645264847</v>
      </c>
      <c r="CU84" s="8">
        <f t="shared" si="29"/>
        <v>108856.24677469119</v>
      </c>
    </row>
    <row r="85" spans="91:118">
      <c r="CM85" s="10" t="s">
        <v>272</v>
      </c>
      <c r="CN85" s="10">
        <f t="shared" si="27"/>
        <v>27.835036772182775</v>
      </c>
      <c r="CO85" s="10">
        <f t="shared" si="27"/>
        <v>55297.24310776942</v>
      </c>
      <c r="CP85" s="10">
        <f t="shared" si="27"/>
        <v>607.15338573932956</v>
      </c>
      <c r="CQ85" s="10">
        <f t="shared" si="27"/>
        <v>4046.4875588187265</v>
      </c>
      <c r="CR85" s="10">
        <f>CG75</f>
        <v>1095.4058729277217</v>
      </c>
      <c r="CS85" s="10">
        <f t="shared" si="28"/>
        <v>70.054166663124988</v>
      </c>
      <c r="CT85" s="10">
        <f t="shared" si="28"/>
        <v>3270.9752808988765</v>
      </c>
      <c r="CU85" s="8">
        <f t="shared" si="29"/>
        <v>64415.154409589384</v>
      </c>
    </row>
    <row r="86" spans="91:118">
      <c r="CM86" s="10" t="s">
        <v>271</v>
      </c>
      <c r="CN86" s="10">
        <f t="shared" si="27"/>
        <v>24.216269115957868</v>
      </c>
      <c r="CO86" s="10">
        <f t="shared" si="27"/>
        <v>42536.340852130321</v>
      </c>
      <c r="CP86" s="10">
        <f t="shared" si="27"/>
        <v>833.58340629963641</v>
      </c>
      <c r="CQ86" s="10">
        <f t="shared" si="27"/>
        <v>38743.330554463275</v>
      </c>
      <c r="CR86" s="10">
        <f>CG76</f>
        <v>3232.2313458416256</v>
      </c>
      <c r="CS86" s="10">
        <f t="shared" si="28"/>
        <v>251.370833320625</v>
      </c>
      <c r="CT86" s="10">
        <f t="shared" si="28"/>
        <v>745.85425361155694</v>
      </c>
      <c r="CU86" s="8">
        <f t="shared" si="29"/>
        <v>86366.927514783019</v>
      </c>
    </row>
    <row r="87" spans="91:118">
      <c r="CM87" s="10" t="s">
        <v>154</v>
      </c>
      <c r="CN87" s="8">
        <f t="shared" ref="CN87:CT87" si="30">SUM(CN82:CN86)</f>
        <v>126.86548629219966</v>
      </c>
      <c r="CO87" s="8">
        <f t="shared" si="30"/>
        <v>282866.66666666663</v>
      </c>
      <c r="CP87" s="8">
        <f t="shared" si="30"/>
        <v>4320.8065995975858</v>
      </c>
      <c r="CQ87" s="8">
        <f t="shared" si="30"/>
        <v>82870.5</v>
      </c>
      <c r="CR87" s="8">
        <f t="shared" si="30"/>
        <v>9000</v>
      </c>
      <c r="CS87" s="8">
        <f t="shared" si="30"/>
        <v>1384.5999999300002</v>
      </c>
      <c r="CT87" s="8">
        <f t="shared" si="30"/>
        <v>11196.8</v>
      </c>
      <c r="CU87" s="8">
        <f t="shared" si="29"/>
        <v>391766.23875248642</v>
      </c>
    </row>
    <row r="88" spans="91:118">
      <c r="CM88" s="174" t="s">
        <v>411</v>
      </c>
      <c r="CN88" s="174"/>
      <c r="CO88" s="174"/>
      <c r="CP88" s="174"/>
      <c r="CQ88" s="174"/>
      <c r="CR88" s="174"/>
      <c r="CS88" s="174"/>
      <c r="CT88" s="174"/>
      <c r="CU88" s="174"/>
    </row>
    <row r="89" spans="91:118">
      <c r="CW89" s="135" t="s">
        <v>410</v>
      </c>
      <c r="CX89" s="136"/>
      <c r="CY89" s="136"/>
      <c r="CZ89" s="136"/>
      <c r="DA89" s="136"/>
      <c r="DB89" s="136"/>
      <c r="DC89" s="136"/>
      <c r="DD89" s="137"/>
    </row>
    <row r="90" spans="91:118" ht="71.25" customHeight="1">
      <c r="CU90" s="5">
        <f>SUM(CU82:CU86)</f>
        <v>391766.23875248642</v>
      </c>
      <c r="CW90" s="175" t="s">
        <v>409</v>
      </c>
      <c r="CX90" s="22" t="s">
        <v>358</v>
      </c>
      <c r="CY90" s="22" t="s">
        <v>357</v>
      </c>
      <c r="CZ90" s="22" t="s">
        <v>356</v>
      </c>
      <c r="DA90" s="22" t="s">
        <v>355</v>
      </c>
      <c r="DB90" s="22" t="s">
        <v>354</v>
      </c>
      <c r="DC90" s="22" t="s">
        <v>353</v>
      </c>
      <c r="DD90" s="22" t="s">
        <v>352</v>
      </c>
    </row>
    <row r="91" spans="91:118">
      <c r="CW91" s="176"/>
      <c r="CX91" s="54">
        <v>0.35</v>
      </c>
      <c r="CY91" s="54">
        <v>0.2</v>
      </c>
      <c r="CZ91" s="54">
        <v>0.35</v>
      </c>
      <c r="DA91" s="54">
        <v>0.1</v>
      </c>
      <c r="DB91" s="54">
        <v>1</v>
      </c>
      <c r="DC91" s="54">
        <v>0.8</v>
      </c>
      <c r="DD91" s="54">
        <v>0.8</v>
      </c>
    </row>
    <row r="92" spans="91:118">
      <c r="CW92" s="141" t="s">
        <v>408</v>
      </c>
      <c r="CX92" s="141"/>
      <c r="CY92" s="141"/>
      <c r="CZ92" s="141"/>
      <c r="DA92" s="141"/>
      <c r="DB92" s="141"/>
      <c r="DC92" s="141"/>
      <c r="DD92" s="141"/>
    </row>
    <row r="93" spans="91:118">
      <c r="DF93" s="135" t="s">
        <v>407</v>
      </c>
      <c r="DG93" s="136"/>
      <c r="DH93" s="136"/>
      <c r="DI93" s="136"/>
      <c r="DJ93" s="136"/>
      <c r="DK93" s="136"/>
      <c r="DL93" s="136"/>
      <c r="DM93" s="136"/>
      <c r="DN93" s="137"/>
    </row>
    <row r="94" spans="91:118" ht="45">
      <c r="DF94" s="12" t="s">
        <v>278</v>
      </c>
      <c r="DG94" s="12" t="s">
        <v>358</v>
      </c>
      <c r="DH94" s="12" t="s">
        <v>356</v>
      </c>
      <c r="DI94" s="12" t="s">
        <v>355</v>
      </c>
      <c r="DJ94" s="12" t="s">
        <v>354</v>
      </c>
      <c r="DK94" s="12" t="s">
        <v>353</v>
      </c>
      <c r="DL94" s="12" t="s">
        <v>352</v>
      </c>
      <c r="DM94" s="12" t="s">
        <v>154</v>
      </c>
      <c r="DN94" s="12" t="s">
        <v>318</v>
      </c>
    </row>
    <row r="95" spans="91:118">
      <c r="DF95" s="11" t="s">
        <v>181</v>
      </c>
      <c r="DG95" s="10">
        <v>97.422628702639699</v>
      </c>
      <c r="DH95" s="10">
        <v>2997.935729910409</v>
      </c>
      <c r="DI95" s="10">
        <v>17110.298426382717</v>
      </c>
      <c r="DJ95" s="10">
        <v>1214.7387793387309</v>
      </c>
      <c r="DK95" s="10">
        <v>1417.5666665949998</v>
      </c>
      <c r="DL95" s="10">
        <v>24873.790048154096</v>
      </c>
      <c r="DM95" s="10">
        <f t="shared" ref="DM95:DM100" si="31">SUM(DG95:DL95)</f>
        <v>47711.752279083594</v>
      </c>
      <c r="DN95" s="10">
        <f>(DM95/$DM$100)*100</f>
        <v>22.928581006361853</v>
      </c>
    </row>
    <row r="96" spans="91:118">
      <c r="DF96" s="11" t="s">
        <v>205</v>
      </c>
      <c r="DG96" s="10">
        <v>84.756941905852528</v>
      </c>
      <c r="DH96" s="10">
        <v>2122.1858954302083</v>
      </c>
      <c r="DI96" s="10">
        <v>11991.200321630999</v>
      </c>
      <c r="DJ96" s="10">
        <v>1575.862484953645</v>
      </c>
      <c r="DK96" s="10">
        <v>5274.6666664000004</v>
      </c>
      <c r="DL96" s="10">
        <v>9561.3123595505622</v>
      </c>
      <c r="DM96" s="10">
        <f t="shared" si="31"/>
        <v>30609.984669871264</v>
      </c>
      <c r="DN96" s="10">
        <f>(DM96/$DM$100)*100</f>
        <v>14.71007623030269</v>
      </c>
    </row>
    <row r="97" spans="110:118">
      <c r="DF97" s="11" t="s">
        <v>200</v>
      </c>
      <c r="DG97" s="10">
        <v>79.670060805714257</v>
      </c>
      <c r="DH97" s="10">
        <v>4960.1227011145493</v>
      </c>
      <c r="DI97" s="10">
        <v>10979.183138704278</v>
      </c>
      <c r="DJ97" s="10">
        <v>1881.7615169382759</v>
      </c>
      <c r="DK97" s="10">
        <v>1813.1666665750004</v>
      </c>
      <c r="DL97" s="10">
        <v>23004.661316211881</v>
      </c>
      <c r="DM97" s="10">
        <f t="shared" si="31"/>
        <v>42718.565400349704</v>
      </c>
      <c r="DN97" s="10">
        <f>(DM97/$DM$100)*100</f>
        <v>20.529031956910089</v>
      </c>
    </row>
    <row r="98" spans="110:118">
      <c r="DF98" s="11" t="s">
        <v>272</v>
      </c>
      <c r="DG98" s="10">
        <v>97.422628702639713</v>
      </c>
      <c r="DH98" s="10">
        <v>2125.036850087653</v>
      </c>
      <c r="DI98" s="10">
        <v>4046.487558818726</v>
      </c>
      <c r="DJ98" s="10">
        <v>1095.4058729277217</v>
      </c>
      <c r="DK98" s="10">
        <v>560.43333330500002</v>
      </c>
      <c r="DL98" s="10">
        <v>26167.802247191015</v>
      </c>
      <c r="DM98" s="10">
        <f t="shared" si="31"/>
        <v>34092.588491032759</v>
      </c>
      <c r="DN98" s="10">
        <f>(DM98/$DM$100)*100</f>
        <v>16.383692478129593</v>
      </c>
    </row>
    <row r="99" spans="110:118">
      <c r="DF99" s="11" t="s">
        <v>271</v>
      </c>
      <c r="DG99" s="10">
        <v>84.756941905852528</v>
      </c>
      <c r="DH99" s="10">
        <v>2917.5419220487274</v>
      </c>
      <c r="DI99" s="10">
        <v>38743.330554463275</v>
      </c>
      <c r="DJ99" s="10">
        <v>3232.2313458416256</v>
      </c>
      <c r="DK99" s="10">
        <v>2010.9666665650002</v>
      </c>
      <c r="DL99" s="10">
        <v>5966.8340288924564</v>
      </c>
      <c r="DM99" s="10">
        <f t="shared" si="31"/>
        <v>52955.661459716939</v>
      </c>
      <c r="DN99" s="10">
        <f>(DM99/$DM$100)*100</f>
        <v>25.448618328295769</v>
      </c>
    </row>
    <row r="100" spans="110:118">
      <c r="DF100" s="11" t="s">
        <v>230</v>
      </c>
      <c r="DG100" s="10">
        <f t="shared" ref="DG100:DL100" si="32">SUM(DG95:DG99)</f>
        <v>444.02920202269866</v>
      </c>
      <c r="DH100" s="10">
        <f t="shared" si="32"/>
        <v>15122.823098591547</v>
      </c>
      <c r="DI100" s="10">
        <f t="shared" si="32"/>
        <v>82870.5</v>
      </c>
      <c r="DJ100" s="10">
        <f t="shared" si="32"/>
        <v>9000</v>
      </c>
      <c r="DK100" s="10">
        <f t="shared" si="32"/>
        <v>11076.79999944</v>
      </c>
      <c r="DL100" s="10">
        <f t="shared" si="32"/>
        <v>89574.400000000009</v>
      </c>
      <c r="DM100" s="10">
        <f t="shared" si="31"/>
        <v>208088.55230005426</v>
      </c>
      <c r="DN100" s="30"/>
    </row>
    <row r="101" spans="110:118">
      <c r="DF101" s="11" t="s">
        <v>317</v>
      </c>
      <c r="DG101" s="16">
        <f t="shared" ref="DG101:DL101" si="33">(DG100/$DM$100)*100</f>
        <v>0.21338473314112383</v>
      </c>
      <c r="DH101" s="10">
        <f t="shared" si="33"/>
        <v>7.2674940218648469</v>
      </c>
      <c r="DI101" s="10">
        <f t="shared" si="33"/>
        <v>39.824631909834466</v>
      </c>
      <c r="DJ101" s="10">
        <f t="shared" si="33"/>
        <v>4.3250817503033074</v>
      </c>
      <c r="DK101" s="10">
        <f t="shared" si="33"/>
        <v>5.3231183921486256</v>
      </c>
      <c r="DL101" s="10">
        <f t="shared" si="33"/>
        <v>43.046289192707626</v>
      </c>
      <c r="DM101" s="30"/>
      <c r="DN101" s="33"/>
    </row>
    <row r="102" spans="110:118">
      <c r="DF102" s="173" t="s">
        <v>406</v>
      </c>
      <c r="DG102" s="173"/>
      <c r="DH102" s="173"/>
      <c r="DI102" s="173"/>
      <c r="DJ102" s="173"/>
      <c r="DK102" s="173"/>
      <c r="DL102" s="173"/>
      <c r="DM102" s="173"/>
      <c r="DN102" s="173"/>
    </row>
    <row r="104" spans="110:118">
      <c r="DM104" s="7">
        <f>SUM(DM95:DM99)</f>
        <v>208088.55230005426</v>
      </c>
    </row>
    <row r="106" spans="110:118">
      <c r="DM106" s="6">
        <f>SUM(DG101:DL101)</f>
        <v>100</v>
      </c>
    </row>
    <row r="107" spans="110:118">
      <c r="DN107" s="6">
        <f>SUM(DN95:DN99)</f>
        <v>99.999999999999986</v>
      </c>
    </row>
  </sheetData>
  <sheetProtection sheet="1" objects="1" scenarios="1"/>
  <mergeCells count="17">
    <mergeCell ref="CC70:CK70"/>
    <mergeCell ref="M5:S5"/>
    <mergeCell ref="BD49:BM49"/>
    <mergeCell ref="BP59:BX59"/>
    <mergeCell ref="AS37:AZ37"/>
    <mergeCell ref="W28:AQ28"/>
    <mergeCell ref="AC5:AJ5"/>
    <mergeCell ref="AN6:AT6"/>
    <mergeCell ref="U5:AB5"/>
    <mergeCell ref="CW92:DD92"/>
    <mergeCell ref="DF93:DN93"/>
    <mergeCell ref="DF102:DN102"/>
    <mergeCell ref="CN80:CU80"/>
    <mergeCell ref="CM80:CM81"/>
    <mergeCell ref="CM88:CU88"/>
    <mergeCell ref="CW90:CW91"/>
    <mergeCell ref="CW89:DD89"/>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3B3EA-4EEB-4677-A5EB-59DA9135C99F}">
  <sheetPr codeName="Feuil5"/>
  <dimension ref="A1:U76"/>
  <sheetViews>
    <sheetView topLeftCell="A58" workbookViewId="0">
      <selection activeCell="F5" sqref="F5:F75"/>
    </sheetView>
  </sheetViews>
  <sheetFormatPr baseColWidth="10" defaultRowHeight="15.75"/>
  <cols>
    <col min="2" max="2" width="15.125" customWidth="1"/>
    <col min="3" max="3" width="13" customWidth="1"/>
    <col min="6" max="6" width="28.375" customWidth="1"/>
    <col min="7" max="7" width="24.125" customWidth="1"/>
    <col min="8" max="8" width="25.375" customWidth="1"/>
    <col min="10" max="10" width="11.125" customWidth="1"/>
    <col min="15" max="15" width="16.625" bestFit="1" customWidth="1"/>
  </cols>
  <sheetData>
    <row r="1" spans="1:21">
      <c r="D1" s="85" t="s">
        <v>652</v>
      </c>
    </row>
    <row r="3" spans="1:21">
      <c r="A3" s="134" t="s">
        <v>647</v>
      </c>
      <c r="B3" s="134"/>
      <c r="C3" s="134"/>
      <c r="D3" s="134" t="s">
        <v>153</v>
      </c>
      <c r="E3" s="134"/>
      <c r="F3" s="134" t="s">
        <v>662</v>
      </c>
      <c r="G3" s="134"/>
      <c r="H3" s="134"/>
      <c r="K3" s="132" t="s">
        <v>587</v>
      </c>
      <c r="L3" s="133"/>
    </row>
    <row r="4" spans="1:21" ht="42.75" customHeight="1">
      <c r="A4" s="12" t="s">
        <v>152</v>
      </c>
      <c r="B4" s="12" t="s">
        <v>144</v>
      </c>
      <c r="C4" s="12" t="s">
        <v>145</v>
      </c>
      <c r="D4" s="12" t="s">
        <v>0</v>
      </c>
      <c r="E4" s="12" t="s">
        <v>1</v>
      </c>
      <c r="F4" s="12" t="s">
        <v>619</v>
      </c>
      <c r="G4" s="12" t="s">
        <v>213</v>
      </c>
      <c r="H4" s="12" t="s">
        <v>212</v>
      </c>
      <c r="K4" s="12" t="s">
        <v>278</v>
      </c>
      <c r="L4" s="12" t="s">
        <v>796</v>
      </c>
      <c r="O4" s="12" t="s">
        <v>241</v>
      </c>
      <c r="P4" s="12" t="s">
        <v>240</v>
      </c>
      <c r="Q4" s="12" t="s">
        <v>239</v>
      </c>
      <c r="R4" s="12" t="s">
        <v>238</v>
      </c>
      <c r="S4" s="12" t="s">
        <v>237</v>
      </c>
      <c r="T4" s="12" t="s">
        <v>236</v>
      </c>
      <c r="U4" s="12" t="s">
        <v>154</v>
      </c>
    </row>
    <row r="5" spans="1:21">
      <c r="A5">
        <v>22</v>
      </c>
      <c r="B5">
        <v>1</v>
      </c>
      <c r="C5">
        <v>14</v>
      </c>
      <c r="D5" t="s">
        <v>44</v>
      </c>
      <c r="E5" t="s">
        <v>45</v>
      </c>
      <c r="F5">
        <f>'A-Demande-bière'!U$7/3</f>
        <v>27.472222220833331</v>
      </c>
      <c r="G5">
        <f t="shared" ref="G5:G36" si="0">F5*0.05</f>
        <v>1.3736111110416667</v>
      </c>
      <c r="H5">
        <f t="shared" ref="H5:H36" si="1">F5*0.1</f>
        <v>2.7472222220833333</v>
      </c>
      <c r="K5" s="11" t="s">
        <v>181</v>
      </c>
      <c r="L5" s="4">
        <f>SUM(F5:F20)</f>
        <v>1771.9583332437505</v>
      </c>
      <c r="O5" s="25" t="s">
        <v>235</v>
      </c>
      <c r="P5" s="10">
        <v>40</v>
      </c>
      <c r="Q5" s="10">
        <v>25</v>
      </c>
      <c r="R5" s="10">
        <v>20</v>
      </c>
      <c r="S5" s="10">
        <v>10</v>
      </c>
      <c r="T5" s="10">
        <v>5</v>
      </c>
      <c r="U5" s="46">
        <v>100</v>
      </c>
    </row>
    <row r="6" spans="1:21">
      <c r="A6">
        <v>36</v>
      </c>
      <c r="B6">
        <v>1</v>
      </c>
      <c r="C6">
        <v>14</v>
      </c>
      <c r="D6" t="s">
        <v>72</v>
      </c>
      <c r="E6" t="s">
        <v>73</v>
      </c>
      <c r="F6">
        <f>'A-Demande-bière'!U$7/3</f>
        <v>27.472222220833331</v>
      </c>
      <c r="G6">
        <f t="shared" si="0"/>
        <v>1.3736111110416667</v>
      </c>
      <c r="H6">
        <f t="shared" si="1"/>
        <v>2.7472222220833333</v>
      </c>
      <c r="K6" s="11" t="s">
        <v>205</v>
      </c>
      <c r="L6" s="4">
        <f>SUM(F21:F33)</f>
        <v>6593.3333329999996</v>
      </c>
      <c r="O6" s="25" t="s">
        <v>234</v>
      </c>
      <c r="P6" s="10">
        <v>33600</v>
      </c>
      <c r="Q6" s="10">
        <v>21000</v>
      </c>
      <c r="R6" s="10">
        <v>16800</v>
      </c>
      <c r="S6" s="10">
        <v>8400</v>
      </c>
      <c r="T6" s="10">
        <v>4200</v>
      </c>
      <c r="U6" s="46">
        <v>84000</v>
      </c>
    </row>
    <row r="7" spans="1:21">
      <c r="A7">
        <v>58</v>
      </c>
      <c r="B7">
        <v>1</v>
      </c>
      <c r="C7">
        <v>14</v>
      </c>
      <c r="D7" t="s">
        <v>116</v>
      </c>
      <c r="E7" t="s">
        <v>117</v>
      </c>
      <c r="F7">
        <f>'A-Demande-bière'!U$7/3</f>
        <v>27.472222220833331</v>
      </c>
      <c r="G7">
        <f t="shared" si="0"/>
        <v>1.3736111110416667</v>
      </c>
      <c r="H7">
        <f t="shared" si="1"/>
        <v>2.7472222220833333</v>
      </c>
      <c r="K7" s="11" t="s">
        <v>200</v>
      </c>
      <c r="L7" s="4">
        <f>SUM(F34:F41)</f>
        <v>2266.4583332187503</v>
      </c>
      <c r="O7" s="24" t="s">
        <v>233</v>
      </c>
      <c r="P7" s="45">
        <v>10080</v>
      </c>
      <c r="Q7" s="45">
        <v>2799.9999992999997</v>
      </c>
      <c r="R7" s="45">
        <v>84</v>
      </c>
      <c r="S7" s="45">
        <v>42</v>
      </c>
      <c r="T7" s="45">
        <v>840</v>
      </c>
      <c r="U7" s="44">
        <v>13845.9999993</v>
      </c>
    </row>
    <row r="8" spans="1:21">
      <c r="A8">
        <v>12</v>
      </c>
      <c r="B8">
        <v>2</v>
      </c>
      <c r="C8">
        <v>14</v>
      </c>
      <c r="D8" t="s">
        <v>24</v>
      </c>
      <c r="E8" t="s">
        <v>25</v>
      </c>
      <c r="F8">
        <f>'A-Demande-bière'!U$8/6</f>
        <v>171.70138888020833</v>
      </c>
      <c r="G8">
        <f t="shared" si="0"/>
        <v>8.5850694440104167</v>
      </c>
      <c r="H8">
        <f t="shared" si="1"/>
        <v>17.170138888020833</v>
      </c>
      <c r="K8" s="11" t="s">
        <v>272</v>
      </c>
      <c r="L8" s="4">
        <f>SUM(F42:F57)</f>
        <v>700.54166663124977</v>
      </c>
    </row>
    <row r="9" spans="1:21">
      <c r="A9">
        <v>13</v>
      </c>
      <c r="B9">
        <v>2</v>
      </c>
      <c r="C9">
        <v>14</v>
      </c>
      <c r="D9" t="s">
        <v>26</v>
      </c>
      <c r="E9" t="s">
        <v>27</v>
      </c>
      <c r="F9">
        <f>'A-Demande-bière'!U$8/6</f>
        <v>171.70138888020833</v>
      </c>
      <c r="G9">
        <f t="shared" si="0"/>
        <v>8.5850694440104167</v>
      </c>
      <c r="H9">
        <f t="shared" si="1"/>
        <v>17.170138888020833</v>
      </c>
      <c r="K9" s="11" t="s">
        <v>271</v>
      </c>
      <c r="L9" s="4">
        <f>SUM(F58:F75)</f>
        <v>2513.7083332062498</v>
      </c>
    </row>
    <row r="10" spans="1:21">
      <c r="A10">
        <v>20</v>
      </c>
      <c r="B10">
        <v>2</v>
      </c>
      <c r="C10">
        <v>14</v>
      </c>
      <c r="D10" t="s">
        <v>40</v>
      </c>
      <c r="E10" t="s">
        <v>41</v>
      </c>
      <c r="F10">
        <f>'A-Demande-bière'!U$8/6</f>
        <v>171.70138888020833</v>
      </c>
      <c r="G10">
        <f t="shared" si="0"/>
        <v>8.5850694440104167</v>
      </c>
      <c r="H10">
        <f t="shared" si="1"/>
        <v>17.170138888020833</v>
      </c>
      <c r="K10" s="9" t="s">
        <v>230</v>
      </c>
      <c r="L10" s="4">
        <f>SUM(L5:L9)</f>
        <v>13845.9999993</v>
      </c>
    </row>
    <row r="11" spans="1:21">
      <c r="A11">
        <v>21</v>
      </c>
      <c r="B11">
        <v>2</v>
      </c>
      <c r="C11">
        <v>14</v>
      </c>
      <c r="D11" t="s">
        <v>42</v>
      </c>
      <c r="E11" t="s">
        <v>43</v>
      </c>
      <c r="F11">
        <f>'A-Demande-bière'!U$8/6</f>
        <v>171.70138888020833</v>
      </c>
      <c r="G11">
        <f t="shared" si="0"/>
        <v>8.5850694440104167</v>
      </c>
      <c r="H11">
        <f t="shared" si="1"/>
        <v>17.170138888020833</v>
      </c>
    </row>
    <row r="12" spans="1:21">
      <c r="A12">
        <v>57</v>
      </c>
      <c r="B12">
        <v>2</v>
      </c>
      <c r="C12">
        <v>14</v>
      </c>
      <c r="D12" t="s">
        <v>114</v>
      </c>
      <c r="E12" t="s">
        <v>115</v>
      </c>
      <c r="F12">
        <f>'A-Demande-bière'!U$8/6</f>
        <v>171.70138888020833</v>
      </c>
      <c r="G12">
        <f t="shared" si="0"/>
        <v>8.5850694440104167</v>
      </c>
      <c r="H12">
        <f t="shared" si="1"/>
        <v>17.170138888020833</v>
      </c>
    </row>
    <row r="13" spans="1:21">
      <c r="A13">
        <v>59</v>
      </c>
      <c r="B13">
        <v>2</v>
      </c>
      <c r="C13">
        <v>14</v>
      </c>
      <c r="D13" t="s">
        <v>118</v>
      </c>
      <c r="E13" t="s">
        <v>119</v>
      </c>
      <c r="F13">
        <f>'A-Demande-bière'!U$8/6</f>
        <v>171.70138888020833</v>
      </c>
      <c r="G13">
        <f t="shared" si="0"/>
        <v>8.5850694440104167</v>
      </c>
      <c r="H13">
        <f t="shared" si="1"/>
        <v>17.170138888020833</v>
      </c>
    </row>
    <row r="14" spans="1:21">
      <c r="A14">
        <v>11</v>
      </c>
      <c r="B14">
        <v>3</v>
      </c>
      <c r="C14">
        <v>14</v>
      </c>
      <c r="D14" t="s">
        <v>22</v>
      </c>
      <c r="E14" t="s">
        <v>23</v>
      </c>
      <c r="F14">
        <f>'A-Demande-bière'!U$9/5</f>
        <v>65.933333329999996</v>
      </c>
      <c r="G14">
        <f t="shared" si="0"/>
        <v>3.2966666665000002</v>
      </c>
      <c r="H14">
        <f t="shared" si="1"/>
        <v>6.5933333330000004</v>
      </c>
    </row>
    <row r="15" spans="1:21">
      <c r="A15">
        <v>23</v>
      </c>
      <c r="B15">
        <v>3</v>
      </c>
      <c r="C15">
        <v>14</v>
      </c>
      <c r="D15" t="s">
        <v>46</v>
      </c>
      <c r="E15" t="s">
        <v>47</v>
      </c>
      <c r="F15">
        <f>'A-Demande-bière'!U$9/5</f>
        <v>65.933333329999996</v>
      </c>
      <c r="G15">
        <f t="shared" si="0"/>
        <v>3.2966666665000002</v>
      </c>
      <c r="H15">
        <f t="shared" si="1"/>
        <v>6.5933333330000004</v>
      </c>
    </row>
    <row r="16" spans="1:21">
      <c r="A16">
        <v>38</v>
      </c>
      <c r="B16">
        <v>3</v>
      </c>
      <c r="C16">
        <v>14</v>
      </c>
      <c r="D16" t="s">
        <v>76</v>
      </c>
      <c r="E16" t="s">
        <v>77</v>
      </c>
      <c r="F16">
        <f>'A-Demande-bière'!U$9/5</f>
        <v>65.933333329999996</v>
      </c>
      <c r="G16">
        <f t="shared" si="0"/>
        <v>3.2966666665000002</v>
      </c>
      <c r="H16">
        <f t="shared" si="1"/>
        <v>6.5933333330000004</v>
      </c>
    </row>
    <row r="17" spans="1:8">
      <c r="A17">
        <v>56</v>
      </c>
      <c r="B17">
        <v>3</v>
      </c>
      <c r="C17">
        <v>14</v>
      </c>
      <c r="D17" t="s">
        <v>112</v>
      </c>
      <c r="E17" t="s">
        <v>113</v>
      </c>
      <c r="F17">
        <f>'A-Demande-bière'!U$9/5</f>
        <v>65.933333329999996</v>
      </c>
      <c r="G17">
        <f t="shared" si="0"/>
        <v>3.2966666665000002</v>
      </c>
      <c r="H17">
        <f t="shared" si="1"/>
        <v>6.5933333330000004</v>
      </c>
    </row>
    <row r="18" spans="1:8">
      <c r="A18">
        <v>60</v>
      </c>
      <c r="B18">
        <v>3</v>
      </c>
      <c r="C18">
        <v>14</v>
      </c>
      <c r="D18" t="s">
        <v>120</v>
      </c>
      <c r="E18" t="s">
        <v>121</v>
      </c>
      <c r="F18">
        <f>'A-Demande-bière'!U$9/5</f>
        <v>65.933333329999996</v>
      </c>
      <c r="G18">
        <f t="shared" si="0"/>
        <v>3.2966666665000002</v>
      </c>
      <c r="H18">
        <f t="shared" si="1"/>
        <v>6.5933333330000004</v>
      </c>
    </row>
    <row r="19" spans="1:8">
      <c r="A19">
        <v>32</v>
      </c>
      <c r="B19">
        <v>4</v>
      </c>
      <c r="C19">
        <v>14</v>
      </c>
      <c r="D19" t="s">
        <v>64</v>
      </c>
      <c r="E19" t="s">
        <v>65</v>
      </c>
      <c r="F19">
        <f>'A-Demande-bière'!U$10/2</f>
        <v>164.83333332499998</v>
      </c>
      <c r="G19">
        <f t="shared" si="0"/>
        <v>8.2416666662499996</v>
      </c>
      <c r="H19">
        <f t="shared" si="1"/>
        <v>16.483333332499999</v>
      </c>
    </row>
    <row r="20" spans="1:8">
      <c r="A20">
        <v>37</v>
      </c>
      <c r="B20">
        <v>4</v>
      </c>
      <c r="C20">
        <v>14</v>
      </c>
      <c r="D20" t="s">
        <v>74</v>
      </c>
      <c r="E20" t="s">
        <v>75</v>
      </c>
      <c r="F20">
        <f>'A-Demande-bière'!U$10/2</f>
        <v>164.83333332499998</v>
      </c>
      <c r="G20">
        <f t="shared" si="0"/>
        <v>8.2416666662499996</v>
      </c>
      <c r="H20">
        <f t="shared" si="1"/>
        <v>16.483333332499999</v>
      </c>
    </row>
    <row r="21" spans="1:8">
      <c r="A21">
        <v>45</v>
      </c>
      <c r="B21">
        <v>1</v>
      </c>
      <c r="C21">
        <v>27</v>
      </c>
      <c r="D21" t="s">
        <v>90</v>
      </c>
      <c r="E21" t="s">
        <v>91</v>
      </c>
      <c r="F21">
        <f>'A-Demande-bière'!U$11/4</f>
        <v>1493.8020832578127</v>
      </c>
      <c r="G21">
        <f t="shared" si="0"/>
        <v>74.690104162890634</v>
      </c>
      <c r="H21">
        <f t="shared" si="1"/>
        <v>149.38020832578127</v>
      </c>
    </row>
    <row r="22" spans="1:8">
      <c r="A22">
        <v>51</v>
      </c>
      <c r="B22">
        <v>1</v>
      </c>
      <c r="C22">
        <v>27</v>
      </c>
      <c r="D22" t="s">
        <v>102</v>
      </c>
      <c r="E22" t="s">
        <v>103</v>
      </c>
      <c r="F22">
        <f>'A-Demande-bière'!U$11/4</f>
        <v>1493.8020832578127</v>
      </c>
      <c r="G22">
        <f t="shared" si="0"/>
        <v>74.690104162890634</v>
      </c>
      <c r="H22">
        <f t="shared" si="1"/>
        <v>149.38020832578127</v>
      </c>
    </row>
    <row r="23" spans="1:8">
      <c r="A23">
        <v>52</v>
      </c>
      <c r="B23">
        <v>1</v>
      </c>
      <c r="C23">
        <v>27</v>
      </c>
      <c r="D23" t="s">
        <v>104</v>
      </c>
      <c r="E23" t="s">
        <v>105</v>
      </c>
      <c r="F23">
        <f>'A-Demande-bière'!U$11/4</f>
        <v>1493.8020832578127</v>
      </c>
      <c r="G23">
        <f t="shared" si="0"/>
        <v>74.690104162890634</v>
      </c>
      <c r="H23">
        <f t="shared" si="1"/>
        <v>149.38020832578127</v>
      </c>
    </row>
    <row r="24" spans="1:8">
      <c r="A24">
        <v>55</v>
      </c>
      <c r="B24">
        <v>1</v>
      </c>
      <c r="C24">
        <v>27</v>
      </c>
      <c r="D24" t="s">
        <v>110</v>
      </c>
      <c r="E24" t="s">
        <v>111</v>
      </c>
      <c r="F24">
        <f>'A-Demande-bière'!U$11/4</f>
        <v>1493.8020832578127</v>
      </c>
      <c r="G24">
        <f t="shared" si="0"/>
        <v>74.690104162890634</v>
      </c>
      <c r="H24">
        <f t="shared" si="1"/>
        <v>149.38020832578127</v>
      </c>
    </row>
    <row r="25" spans="1:8">
      <c r="A25">
        <v>14</v>
      </c>
      <c r="B25">
        <v>2</v>
      </c>
      <c r="C25">
        <v>27</v>
      </c>
      <c r="D25" t="s">
        <v>28</v>
      </c>
      <c r="E25" t="s">
        <v>29</v>
      </c>
      <c r="F25">
        <f>'A-Demande-bière'!U$12/6</f>
        <v>27.472222220833331</v>
      </c>
      <c r="G25">
        <f t="shared" si="0"/>
        <v>1.3736111110416667</v>
      </c>
      <c r="H25">
        <f t="shared" si="1"/>
        <v>2.7472222220833333</v>
      </c>
    </row>
    <row r="26" spans="1:8">
      <c r="A26">
        <v>15</v>
      </c>
      <c r="B26">
        <v>2</v>
      </c>
      <c r="C26">
        <v>27</v>
      </c>
      <c r="D26" t="s">
        <v>30</v>
      </c>
      <c r="E26" t="s">
        <v>31</v>
      </c>
      <c r="F26">
        <f>'A-Demande-bière'!U$12/6</f>
        <v>27.472222220833331</v>
      </c>
      <c r="G26">
        <f t="shared" si="0"/>
        <v>1.3736111110416667</v>
      </c>
      <c r="H26">
        <f t="shared" si="1"/>
        <v>2.7472222220833333</v>
      </c>
    </row>
    <row r="27" spans="1:8">
      <c r="A27">
        <v>17</v>
      </c>
      <c r="B27">
        <v>2</v>
      </c>
      <c r="C27">
        <v>27</v>
      </c>
      <c r="D27" t="s">
        <v>34</v>
      </c>
      <c r="E27" t="s">
        <v>35</v>
      </c>
      <c r="F27">
        <f>'A-Demande-bière'!U$12/6</f>
        <v>27.472222220833331</v>
      </c>
      <c r="G27">
        <f t="shared" si="0"/>
        <v>1.3736111110416667</v>
      </c>
      <c r="H27">
        <f t="shared" si="1"/>
        <v>2.7472222220833333</v>
      </c>
    </row>
    <row r="28" spans="1:8">
      <c r="A28">
        <v>18</v>
      </c>
      <c r="B28">
        <v>2</v>
      </c>
      <c r="C28">
        <v>27</v>
      </c>
      <c r="D28" t="s">
        <v>36</v>
      </c>
      <c r="E28" t="s">
        <v>37</v>
      </c>
      <c r="F28">
        <f>'A-Demande-bière'!U$12/6</f>
        <v>27.472222220833331</v>
      </c>
      <c r="G28">
        <f t="shared" si="0"/>
        <v>1.3736111110416667</v>
      </c>
      <c r="H28">
        <f t="shared" si="1"/>
        <v>2.7472222220833333</v>
      </c>
    </row>
    <row r="29" spans="1:8">
      <c r="A29">
        <v>19</v>
      </c>
      <c r="B29">
        <v>2</v>
      </c>
      <c r="C29">
        <v>27</v>
      </c>
      <c r="D29" t="s">
        <v>38</v>
      </c>
      <c r="E29" t="s">
        <v>39</v>
      </c>
      <c r="F29">
        <f>'A-Demande-bière'!U$12/6</f>
        <v>27.472222220833331</v>
      </c>
      <c r="G29">
        <f t="shared" si="0"/>
        <v>1.3736111110416667</v>
      </c>
      <c r="H29">
        <f t="shared" si="1"/>
        <v>2.7472222220833333</v>
      </c>
    </row>
    <row r="30" spans="1:8">
      <c r="A30">
        <v>62</v>
      </c>
      <c r="B30">
        <v>2</v>
      </c>
      <c r="C30">
        <v>27</v>
      </c>
      <c r="D30" t="s">
        <v>124</v>
      </c>
      <c r="E30" t="s">
        <v>125</v>
      </c>
      <c r="F30">
        <f>'A-Demande-bière'!U$12/6</f>
        <v>27.472222220833331</v>
      </c>
      <c r="G30">
        <f t="shared" si="0"/>
        <v>1.3736111110416667</v>
      </c>
      <c r="H30">
        <f t="shared" si="1"/>
        <v>2.7472222220833333</v>
      </c>
    </row>
    <row r="31" spans="1:8">
      <c r="A31">
        <v>7</v>
      </c>
      <c r="B31">
        <v>3</v>
      </c>
      <c r="C31">
        <v>27</v>
      </c>
      <c r="D31" t="s">
        <v>14</v>
      </c>
      <c r="E31" t="s">
        <v>15</v>
      </c>
      <c r="F31">
        <f>'A-Demande-bière'!U$13/3</f>
        <v>151.09722221458335</v>
      </c>
      <c r="G31">
        <f t="shared" si="0"/>
        <v>7.5548611107291679</v>
      </c>
      <c r="H31">
        <f t="shared" si="1"/>
        <v>15.109722221458336</v>
      </c>
    </row>
    <row r="32" spans="1:8">
      <c r="A32">
        <v>47</v>
      </c>
      <c r="B32">
        <v>3</v>
      </c>
      <c r="C32">
        <v>27</v>
      </c>
      <c r="D32" t="s">
        <v>94</v>
      </c>
      <c r="E32" t="s">
        <v>95</v>
      </c>
      <c r="F32">
        <f>'A-Demande-bière'!U$13/3</f>
        <v>151.09722221458335</v>
      </c>
      <c r="G32">
        <f t="shared" si="0"/>
        <v>7.5548611107291679</v>
      </c>
      <c r="H32">
        <f t="shared" si="1"/>
        <v>15.109722221458336</v>
      </c>
    </row>
    <row r="33" spans="1:8">
      <c r="A33">
        <v>61</v>
      </c>
      <c r="B33">
        <v>3</v>
      </c>
      <c r="C33">
        <v>27</v>
      </c>
      <c r="D33" t="s">
        <v>122</v>
      </c>
      <c r="E33" t="s">
        <v>123</v>
      </c>
      <c r="F33">
        <f>'A-Demande-bière'!U$13/3</f>
        <v>151.09722221458335</v>
      </c>
      <c r="G33">
        <f t="shared" si="0"/>
        <v>7.5548611107291679</v>
      </c>
      <c r="H33">
        <f t="shared" si="1"/>
        <v>15.109722221458336</v>
      </c>
    </row>
    <row r="34" spans="1:8">
      <c r="A34">
        <v>8</v>
      </c>
      <c r="B34">
        <v>1</v>
      </c>
      <c r="C34">
        <v>50</v>
      </c>
      <c r="D34" t="s">
        <v>16</v>
      </c>
      <c r="E34" t="s">
        <v>17</v>
      </c>
      <c r="F34">
        <f>'A-Demande-bière'!U$14/2</f>
        <v>453.29166664375003</v>
      </c>
      <c r="G34">
        <f t="shared" si="0"/>
        <v>22.664583332187505</v>
      </c>
      <c r="H34">
        <f t="shared" si="1"/>
        <v>45.329166664375009</v>
      </c>
    </row>
    <row r="35" spans="1:8">
      <c r="A35">
        <v>34</v>
      </c>
      <c r="B35">
        <v>1</v>
      </c>
      <c r="C35">
        <v>50</v>
      </c>
      <c r="D35" t="s">
        <v>68</v>
      </c>
      <c r="E35" t="s">
        <v>69</v>
      </c>
      <c r="F35">
        <f>'A-Demande-bière'!U$14/2</f>
        <v>453.29166664375003</v>
      </c>
      <c r="G35">
        <f t="shared" si="0"/>
        <v>22.664583332187505</v>
      </c>
      <c r="H35">
        <f t="shared" si="1"/>
        <v>45.329166664375009</v>
      </c>
    </row>
    <row r="36" spans="1:8">
      <c r="A36">
        <v>9</v>
      </c>
      <c r="B36">
        <v>2</v>
      </c>
      <c r="C36">
        <v>50</v>
      </c>
      <c r="D36" t="s">
        <v>18</v>
      </c>
      <c r="E36" t="s">
        <v>19</v>
      </c>
      <c r="F36">
        <f>'A-Demande-bière'!U$15/2</f>
        <v>304.94166665125005</v>
      </c>
      <c r="G36">
        <f t="shared" si="0"/>
        <v>15.247083332562504</v>
      </c>
      <c r="H36">
        <f t="shared" si="1"/>
        <v>30.494166665125007</v>
      </c>
    </row>
    <row r="37" spans="1:8">
      <c r="A37">
        <v>26</v>
      </c>
      <c r="B37">
        <v>2</v>
      </c>
      <c r="C37">
        <v>50</v>
      </c>
      <c r="D37" t="s">
        <v>52</v>
      </c>
      <c r="E37" t="s">
        <v>53</v>
      </c>
      <c r="F37">
        <f>'A-Demande-bière'!U$15/2</f>
        <v>304.94166665125005</v>
      </c>
      <c r="G37">
        <f t="shared" ref="G37:G68" si="2">F37*0.05</f>
        <v>15.247083332562504</v>
      </c>
      <c r="H37">
        <f t="shared" ref="H37:H68" si="3">F37*0.1</f>
        <v>30.494166665125007</v>
      </c>
    </row>
    <row r="38" spans="1:8">
      <c r="A38">
        <v>24</v>
      </c>
      <c r="B38">
        <v>3</v>
      </c>
      <c r="C38">
        <v>50</v>
      </c>
      <c r="D38" t="s">
        <v>48</v>
      </c>
      <c r="E38" t="s">
        <v>49</v>
      </c>
      <c r="F38">
        <f>'A-Demande-bière'!U$16/2</f>
        <v>230.76666665499999</v>
      </c>
      <c r="G38">
        <f t="shared" si="2"/>
        <v>11.53833333275</v>
      </c>
      <c r="H38">
        <f t="shared" si="3"/>
        <v>23.076666665499999</v>
      </c>
    </row>
    <row r="39" spans="1:8">
      <c r="A39">
        <v>25</v>
      </c>
      <c r="B39">
        <v>3</v>
      </c>
      <c r="C39">
        <v>50</v>
      </c>
      <c r="D39" t="s">
        <v>50</v>
      </c>
      <c r="E39" t="s">
        <v>51</v>
      </c>
      <c r="F39">
        <f>'A-Demande-bière'!U$16/2</f>
        <v>230.76666665499999</v>
      </c>
      <c r="G39">
        <f t="shared" si="2"/>
        <v>11.53833333275</v>
      </c>
      <c r="H39">
        <f t="shared" si="3"/>
        <v>23.076666665499999</v>
      </c>
    </row>
    <row r="40" spans="1:8">
      <c r="A40">
        <v>10</v>
      </c>
      <c r="B40">
        <v>4</v>
      </c>
      <c r="C40">
        <v>50</v>
      </c>
      <c r="D40" t="s">
        <v>20</v>
      </c>
      <c r="E40" t="s">
        <v>21</v>
      </c>
      <c r="F40">
        <f>'A-Demande-bière'!U$17/2</f>
        <v>144.22916665937498</v>
      </c>
      <c r="G40">
        <f t="shared" si="2"/>
        <v>7.2114583329687498</v>
      </c>
      <c r="H40">
        <f t="shared" si="3"/>
        <v>14.4229166659375</v>
      </c>
    </row>
    <row r="41" spans="1:8">
      <c r="A41">
        <v>16</v>
      </c>
      <c r="B41">
        <v>4</v>
      </c>
      <c r="C41">
        <v>50</v>
      </c>
      <c r="D41" t="s">
        <v>32</v>
      </c>
      <c r="E41" t="s">
        <v>33</v>
      </c>
      <c r="F41">
        <f>'A-Demande-bière'!U$17/2</f>
        <v>144.22916665937498</v>
      </c>
      <c r="G41">
        <f t="shared" si="2"/>
        <v>7.2114583329687498</v>
      </c>
      <c r="H41">
        <f t="shared" si="3"/>
        <v>14.4229166659375</v>
      </c>
    </row>
    <row r="42" spans="1:8">
      <c r="A42">
        <v>3</v>
      </c>
      <c r="B42">
        <v>1</v>
      </c>
      <c r="C42">
        <v>61</v>
      </c>
      <c r="D42" t="s">
        <v>6</v>
      </c>
      <c r="E42" t="s">
        <v>7</v>
      </c>
      <c r="F42">
        <f>'A-Demande-bière'!U$18/5</f>
        <v>41.208333331249996</v>
      </c>
      <c r="G42">
        <f t="shared" si="2"/>
        <v>2.0604166665624999</v>
      </c>
      <c r="H42">
        <f t="shared" si="3"/>
        <v>4.1208333331249998</v>
      </c>
    </row>
    <row r="43" spans="1:8">
      <c r="A43">
        <v>4</v>
      </c>
      <c r="B43">
        <v>1</v>
      </c>
      <c r="C43">
        <v>61</v>
      </c>
      <c r="D43" t="s">
        <v>8</v>
      </c>
      <c r="E43" t="s">
        <v>9</v>
      </c>
      <c r="F43">
        <f>'A-Demande-bière'!U$18/5</f>
        <v>41.208333331249996</v>
      </c>
      <c r="G43">
        <f t="shared" si="2"/>
        <v>2.0604166665624999</v>
      </c>
      <c r="H43">
        <f t="shared" si="3"/>
        <v>4.1208333331249998</v>
      </c>
    </row>
    <row r="44" spans="1:8">
      <c r="A44">
        <v>28</v>
      </c>
      <c r="B44">
        <v>1</v>
      </c>
      <c r="C44">
        <v>61</v>
      </c>
      <c r="D44" t="s">
        <v>56</v>
      </c>
      <c r="E44" t="s">
        <v>57</v>
      </c>
      <c r="F44">
        <f>'A-Demande-bière'!U$18/5</f>
        <v>41.208333331249996</v>
      </c>
      <c r="G44">
        <f t="shared" si="2"/>
        <v>2.0604166665624999</v>
      </c>
      <c r="H44">
        <f t="shared" si="3"/>
        <v>4.1208333331249998</v>
      </c>
    </row>
    <row r="45" spans="1:8">
      <c r="A45">
        <v>50</v>
      </c>
      <c r="B45">
        <v>1</v>
      </c>
      <c r="C45">
        <v>61</v>
      </c>
      <c r="D45" t="s">
        <v>100</v>
      </c>
      <c r="E45" t="s">
        <v>101</v>
      </c>
      <c r="F45">
        <f>'A-Demande-bière'!U$18/5</f>
        <v>41.208333331249996</v>
      </c>
      <c r="G45">
        <f t="shared" si="2"/>
        <v>2.0604166665624999</v>
      </c>
      <c r="H45">
        <f t="shared" si="3"/>
        <v>4.1208333331249998</v>
      </c>
    </row>
    <row r="46" spans="1:8">
      <c r="A46">
        <v>64</v>
      </c>
      <c r="B46">
        <v>1</v>
      </c>
      <c r="C46">
        <v>61</v>
      </c>
      <c r="D46" t="s">
        <v>128</v>
      </c>
      <c r="E46" t="s">
        <v>129</v>
      </c>
      <c r="F46">
        <f>'A-Demande-bière'!U$18/5</f>
        <v>41.208333331249996</v>
      </c>
      <c r="G46">
        <f t="shared" si="2"/>
        <v>2.0604166665624999</v>
      </c>
      <c r="H46">
        <f t="shared" si="3"/>
        <v>4.1208333331249998</v>
      </c>
    </row>
    <row r="47" spans="1:8">
      <c r="A47">
        <v>5</v>
      </c>
      <c r="B47">
        <v>2</v>
      </c>
      <c r="C47">
        <v>61</v>
      </c>
      <c r="D47" t="s">
        <v>10</v>
      </c>
      <c r="E47" t="s">
        <v>11</v>
      </c>
      <c r="F47">
        <f>'A-Demande-bière'!U$19/4</f>
        <v>51.510416664062497</v>
      </c>
      <c r="G47">
        <f t="shared" si="2"/>
        <v>2.5755208332031252</v>
      </c>
      <c r="H47">
        <f t="shared" si="3"/>
        <v>5.1510416664062504</v>
      </c>
    </row>
    <row r="48" spans="1:8">
      <c r="A48">
        <v>29</v>
      </c>
      <c r="B48">
        <v>2</v>
      </c>
      <c r="C48">
        <v>61</v>
      </c>
      <c r="D48" t="s">
        <v>58</v>
      </c>
      <c r="E48" t="s">
        <v>59</v>
      </c>
      <c r="F48">
        <f>'A-Demande-bière'!U$19/4</f>
        <v>51.510416664062497</v>
      </c>
      <c r="G48">
        <f t="shared" si="2"/>
        <v>2.5755208332031252</v>
      </c>
      <c r="H48">
        <f t="shared" si="3"/>
        <v>5.1510416664062504</v>
      </c>
    </row>
    <row r="49" spans="1:8">
      <c r="A49">
        <v>49</v>
      </c>
      <c r="B49">
        <v>2</v>
      </c>
      <c r="C49">
        <v>61</v>
      </c>
      <c r="D49" t="s">
        <v>98</v>
      </c>
      <c r="E49" t="s">
        <v>99</v>
      </c>
      <c r="F49">
        <f>'A-Demande-bière'!U$19/4</f>
        <v>51.510416664062497</v>
      </c>
      <c r="G49">
        <f t="shared" si="2"/>
        <v>2.5755208332031252</v>
      </c>
      <c r="H49">
        <f t="shared" si="3"/>
        <v>5.1510416664062504</v>
      </c>
    </row>
    <row r="50" spans="1:8">
      <c r="A50">
        <v>63</v>
      </c>
      <c r="B50">
        <v>2</v>
      </c>
      <c r="C50">
        <v>61</v>
      </c>
      <c r="D50" t="s">
        <v>126</v>
      </c>
      <c r="E50" t="s">
        <v>127</v>
      </c>
      <c r="F50">
        <f>'A-Demande-bière'!U$19/4</f>
        <v>51.510416664062497</v>
      </c>
      <c r="G50">
        <f t="shared" si="2"/>
        <v>2.5755208332031252</v>
      </c>
      <c r="H50">
        <f t="shared" si="3"/>
        <v>5.1510416664062504</v>
      </c>
    </row>
    <row r="51" spans="1:8">
      <c r="A51">
        <v>6</v>
      </c>
      <c r="B51">
        <v>3</v>
      </c>
      <c r="C51">
        <v>61</v>
      </c>
      <c r="D51" t="s">
        <v>12</v>
      </c>
      <c r="E51" t="s">
        <v>13</v>
      </c>
      <c r="F51">
        <f>'A-Demande-bière'!U$20/7</f>
        <v>41.208333331249996</v>
      </c>
      <c r="G51">
        <f t="shared" si="2"/>
        <v>2.0604166665624999</v>
      </c>
      <c r="H51">
        <f t="shared" si="3"/>
        <v>4.1208333331249998</v>
      </c>
    </row>
    <row r="52" spans="1:8">
      <c r="A52">
        <v>27</v>
      </c>
      <c r="B52">
        <v>3</v>
      </c>
      <c r="C52">
        <v>61</v>
      </c>
      <c r="D52" t="s">
        <v>54</v>
      </c>
      <c r="E52" t="s">
        <v>55</v>
      </c>
      <c r="F52">
        <f>'A-Demande-bière'!U$20/7</f>
        <v>41.208333331249996</v>
      </c>
      <c r="G52">
        <f t="shared" si="2"/>
        <v>2.0604166665624999</v>
      </c>
      <c r="H52">
        <f t="shared" si="3"/>
        <v>4.1208333331249998</v>
      </c>
    </row>
    <row r="53" spans="1:8">
      <c r="A53">
        <v>30</v>
      </c>
      <c r="B53">
        <v>3</v>
      </c>
      <c r="C53">
        <v>61</v>
      </c>
      <c r="D53" t="s">
        <v>60</v>
      </c>
      <c r="E53" t="s">
        <v>61</v>
      </c>
      <c r="F53">
        <f>'A-Demande-bière'!U$20/7</f>
        <v>41.208333331249996</v>
      </c>
      <c r="G53">
        <f t="shared" si="2"/>
        <v>2.0604166665624999</v>
      </c>
      <c r="H53">
        <f t="shared" si="3"/>
        <v>4.1208333331249998</v>
      </c>
    </row>
    <row r="54" spans="1:8">
      <c r="A54">
        <v>33</v>
      </c>
      <c r="B54">
        <v>3</v>
      </c>
      <c r="C54">
        <v>61</v>
      </c>
      <c r="D54" t="s">
        <v>66</v>
      </c>
      <c r="E54" t="s">
        <v>67</v>
      </c>
      <c r="F54">
        <f>'A-Demande-bière'!U$20/7</f>
        <v>41.208333331249996</v>
      </c>
      <c r="G54">
        <f t="shared" si="2"/>
        <v>2.0604166665624999</v>
      </c>
      <c r="H54">
        <f t="shared" si="3"/>
        <v>4.1208333331249998</v>
      </c>
    </row>
    <row r="55" spans="1:8">
      <c r="A55">
        <v>35</v>
      </c>
      <c r="B55">
        <v>3</v>
      </c>
      <c r="C55">
        <v>61</v>
      </c>
      <c r="D55" t="s">
        <v>70</v>
      </c>
      <c r="E55" t="s">
        <v>71</v>
      </c>
      <c r="F55">
        <f>'A-Demande-bière'!U$20/7</f>
        <v>41.208333331249996</v>
      </c>
      <c r="G55">
        <f t="shared" si="2"/>
        <v>2.0604166665624999</v>
      </c>
      <c r="H55">
        <f t="shared" si="3"/>
        <v>4.1208333331249998</v>
      </c>
    </row>
    <row r="56" spans="1:8">
      <c r="A56">
        <v>48</v>
      </c>
      <c r="B56">
        <v>3</v>
      </c>
      <c r="C56">
        <v>61</v>
      </c>
      <c r="D56" t="s">
        <v>96</v>
      </c>
      <c r="E56" t="s">
        <v>97</v>
      </c>
      <c r="F56">
        <f>'A-Demande-bière'!U$20/7</f>
        <v>41.208333331249996</v>
      </c>
      <c r="G56">
        <f t="shared" si="2"/>
        <v>2.0604166665624999</v>
      </c>
      <c r="H56">
        <f t="shared" si="3"/>
        <v>4.1208333331249998</v>
      </c>
    </row>
    <row r="57" spans="1:8">
      <c r="A57">
        <v>53</v>
      </c>
      <c r="B57">
        <v>3</v>
      </c>
      <c r="C57">
        <v>61</v>
      </c>
      <c r="D57" t="s">
        <v>106</v>
      </c>
      <c r="E57" t="s">
        <v>107</v>
      </c>
      <c r="F57">
        <f>'A-Demande-bière'!U$20/7</f>
        <v>41.208333331249996</v>
      </c>
      <c r="G57">
        <f t="shared" si="2"/>
        <v>2.0604166665624999</v>
      </c>
      <c r="H57">
        <f t="shared" si="3"/>
        <v>4.1208333331249998</v>
      </c>
    </row>
    <row r="58" spans="1:8">
      <c r="A58">
        <v>31</v>
      </c>
      <c r="B58">
        <v>1</v>
      </c>
      <c r="C58">
        <v>76</v>
      </c>
      <c r="D58" t="s">
        <v>62</v>
      </c>
      <c r="E58" t="s">
        <v>63</v>
      </c>
      <c r="F58">
        <f>'A-Demande-bière'!U$21/9</f>
        <v>155.67592591805555</v>
      </c>
      <c r="G58">
        <f t="shared" si="2"/>
        <v>7.7837962959027784</v>
      </c>
      <c r="H58">
        <f t="shared" si="3"/>
        <v>15.567592591805557</v>
      </c>
    </row>
    <row r="59" spans="1:8">
      <c r="A59">
        <v>39</v>
      </c>
      <c r="B59">
        <v>1</v>
      </c>
      <c r="C59">
        <v>76</v>
      </c>
      <c r="D59" t="s">
        <v>78</v>
      </c>
      <c r="E59" t="s">
        <v>79</v>
      </c>
      <c r="F59">
        <f>'A-Demande-bière'!U$21/9</f>
        <v>155.67592591805555</v>
      </c>
      <c r="G59">
        <f t="shared" si="2"/>
        <v>7.7837962959027784</v>
      </c>
      <c r="H59">
        <f t="shared" si="3"/>
        <v>15.567592591805557</v>
      </c>
    </row>
    <row r="60" spans="1:8">
      <c r="A60">
        <v>40</v>
      </c>
      <c r="B60">
        <v>1</v>
      </c>
      <c r="C60">
        <v>76</v>
      </c>
      <c r="D60" t="s">
        <v>80</v>
      </c>
      <c r="E60" t="s">
        <v>81</v>
      </c>
      <c r="F60">
        <f>'A-Demande-bière'!U$21/9</f>
        <v>155.67592591805555</v>
      </c>
      <c r="G60">
        <f t="shared" si="2"/>
        <v>7.7837962959027784</v>
      </c>
      <c r="H60">
        <f t="shared" si="3"/>
        <v>15.567592591805557</v>
      </c>
    </row>
    <row r="61" spans="1:8">
      <c r="A61">
        <v>42</v>
      </c>
      <c r="B61">
        <v>1</v>
      </c>
      <c r="C61">
        <v>76</v>
      </c>
      <c r="D61" t="s">
        <v>84</v>
      </c>
      <c r="E61" t="s">
        <v>85</v>
      </c>
      <c r="F61">
        <f>'A-Demande-bière'!U$21/9</f>
        <v>155.67592591805555</v>
      </c>
      <c r="G61">
        <f t="shared" si="2"/>
        <v>7.7837962959027784</v>
      </c>
      <c r="H61">
        <f t="shared" si="3"/>
        <v>15.567592591805557</v>
      </c>
    </row>
    <row r="62" spans="1:8">
      <c r="A62">
        <v>44</v>
      </c>
      <c r="B62">
        <v>1</v>
      </c>
      <c r="C62">
        <v>76</v>
      </c>
      <c r="D62" t="s">
        <v>88</v>
      </c>
      <c r="E62" t="s">
        <v>89</v>
      </c>
      <c r="F62">
        <f>'A-Demande-bière'!U$21/9</f>
        <v>155.67592591805555</v>
      </c>
      <c r="G62">
        <f t="shared" si="2"/>
        <v>7.7837962959027784</v>
      </c>
      <c r="H62">
        <f t="shared" si="3"/>
        <v>15.567592591805557</v>
      </c>
    </row>
    <row r="63" spans="1:8">
      <c r="A63">
        <v>66</v>
      </c>
      <c r="B63">
        <v>1</v>
      </c>
      <c r="C63">
        <v>76</v>
      </c>
      <c r="D63" t="s">
        <v>132</v>
      </c>
      <c r="E63" t="s">
        <v>133</v>
      </c>
      <c r="F63">
        <f>'A-Demande-bière'!U$21/9</f>
        <v>155.67592591805555</v>
      </c>
      <c r="G63">
        <f t="shared" si="2"/>
        <v>7.7837962959027784</v>
      </c>
      <c r="H63">
        <f t="shared" si="3"/>
        <v>15.567592591805557</v>
      </c>
    </row>
    <row r="64" spans="1:8">
      <c r="A64">
        <v>67</v>
      </c>
      <c r="B64">
        <v>1</v>
      </c>
      <c r="C64">
        <v>76</v>
      </c>
      <c r="D64" t="s">
        <v>134</v>
      </c>
      <c r="E64" t="s">
        <v>135</v>
      </c>
      <c r="F64">
        <f>'A-Demande-bière'!U$21/9</f>
        <v>155.67592591805555</v>
      </c>
      <c r="G64">
        <f t="shared" si="2"/>
        <v>7.7837962959027784</v>
      </c>
      <c r="H64">
        <f t="shared" si="3"/>
        <v>15.567592591805557</v>
      </c>
    </row>
    <row r="65" spans="1:8">
      <c r="A65">
        <v>70</v>
      </c>
      <c r="B65">
        <v>1</v>
      </c>
      <c r="C65">
        <v>76</v>
      </c>
      <c r="D65" t="s">
        <v>140</v>
      </c>
      <c r="E65" t="s">
        <v>141</v>
      </c>
      <c r="F65">
        <f>'A-Demande-bière'!U$21/9</f>
        <v>155.67592591805555</v>
      </c>
      <c r="G65">
        <f t="shared" si="2"/>
        <v>7.7837962959027784</v>
      </c>
      <c r="H65">
        <f t="shared" si="3"/>
        <v>15.567592591805557</v>
      </c>
    </row>
    <row r="66" spans="1:8">
      <c r="A66">
        <v>71</v>
      </c>
      <c r="B66">
        <v>1</v>
      </c>
      <c r="C66">
        <v>76</v>
      </c>
      <c r="D66" t="s">
        <v>142</v>
      </c>
      <c r="E66" t="s">
        <v>143</v>
      </c>
      <c r="F66">
        <f>'A-Demande-bière'!U$21/9</f>
        <v>155.67592591805555</v>
      </c>
      <c r="G66">
        <f t="shared" si="2"/>
        <v>7.7837962959027784</v>
      </c>
      <c r="H66">
        <f t="shared" si="3"/>
        <v>15.567592591805557</v>
      </c>
    </row>
    <row r="67" spans="1:8">
      <c r="A67">
        <v>1</v>
      </c>
      <c r="B67">
        <v>2</v>
      </c>
      <c r="C67">
        <v>76</v>
      </c>
      <c r="D67" t="s">
        <v>2</v>
      </c>
      <c r="E67" t="s">
        <v>3</v>
      </c>
      <c r="F67">
        <f>'A-Demande-bière'!U$22/4</f>
        <v>72.114583329687491</v>
      </c>
      <c r="G67">
        <f t="shared" si="2"/>
        <v>3.6057291664843749</v>
      </c>
      <c r="H67">
        <f t="shared" si="3"/>
        <v>7.2114583329687498</v>
      </c>
    </row>
    <row r="68" spans="1:8">
      <c r="A68">
        <v>41</v>
      </c>
      <c r="B68">
        <v>2</v>
      </c>
      <c r="C68">
        <v>76</v>
      </c>
      <c r="D68" t="s">
        <v>82</v>
      </c>
      <c r="E68" t="s">
        <v>83</v>
      </c>
      <c r="F68">
        <f>'A-Demande-bière'!U$22/4</f>
        <v>72.114583329687491</v>
      </c>
      <c r="G68">
        <f t="shared" si="2"/>
        <v>3.6057291664843749</v>
      </c>
      <c r="H68">
        <f t="shared" si="3"/>
        <v>7.2114583329687498</v>
      </c>
    </row>
    <row r="69" spans="1:8">
      <c r="A69">
        <v>54</v>
      </c>
      <c r="B69">
        <v>2</v>
      </c>
      <c r="C69">
        <v>76</v>
      </c>
      <c r="D69" t="s">
        <v>108</v>
      </c>
      <c r="E69" t="s">
        <v>109</v>
      </c>
      <c r="F69">
        <f>'A-Demande-bière'!U$22/4</f>
        <v>72.114583329687491</v>
      </c>
      <c r="G69">
        <f t="shared" ref="G69:G100" si="4">F69*0.05</f>
        <v>3.6057291664843749</v>
      </c>
      <c r="H69">
        <f t="shared" ref="H69:H75" si="5">F69*0.1</f>
        <v>7.2114583329687498</v>
      </c>
    </row>
    <row r="70" spans="1:8">
      <c r="A70">
        <v>65</v>
      </c>
      <c r="B70">
        <v>2</v>
      </c>
      <c r="C70">
        <v>76</v>
      </c>
      <c r="D70" t="s">
        <v>130</v>
      </c>
      <c r="E70" t="s">
        <v>131</v>
      </c>
      <c r="F70">
        <f>'A-Demande-bière'!U$22/4</f>
        <v>72.114583329687491</v>
      </c>
      <c r="G70">
        <f t="shared" si="4"/>
        <v>3.6057291664843749</v>
      </c>
      <c r="H70">
        <f t="shared" si="5"/>
        <v>7.2114583329687498</v>
      </c>
    </row>
    <row r="71" spans="1:8">
      <c r="A71">
        <v>2</v>
      </c>
      <c r="B71">
        <v>3</v>
      </c>
      <c r="C71">
        <v>76</v>
      </c>
      <c r="D71" t="s">
        <v>4</v>
      </c>
      <c r="E71" t="s">
        <v>5</v>
      </c>
      <c r="F71">
        <f>'A-Demande-bière'!U$23/5</f>
        <v>164.83333332499998</v>
      </c>
      <c r="G71">
        <f t="shared" si="4"/>
        <v>8.2416666662499996</v>
      </c>
      <c r="H71">
        <f t="shared" si="5"/>
        <v>16.483333332499999</v>
      </c>
    </row>
    <row r="72" spans="1:8">
      <c r="A72">
        <v>43</v>
      </c>
      <c r="B72">
        <v>3</v>
      </c>
      <c r="C72">
        <v>76</v>
      </c>
      <c r="D72" t="s">
        <v>86</v>
      </c>
      <c r="E72" t="s">
        <v>87</v>
      </c>
      <c r="F72">
        <f>'A-Demande-bière'!U$23/5</f>
        <v>164.83333332499998</v>
      </c>
      <c r="G72">
        <f t="shared" si="4"/>
        <v>8.2416666662499996</v>
      </c>
      <c r="H72">
        <f t="shared" si="5"/>
        <v>16.483333332499999</v>
      </c>
    </row>
    <row r="73" spans="1:8">
      <c r="A73">
        <v>46</v>
      </c>
      <c r="B73">
        <v>3</v>
      </c>
      <c r="C73">
        <v>76</v>
      </c>
      <c r="D73" t="s">
        <v>92</v>
      </c>
      <c r="E73" t="s">
        <v>93</v>
      </c>
      <c r="F73">
        <f>'A-Demande-bière'!U$23/5</f>
        <v>164.83333332499998</v>
      </c>
      <c r="G73">
        <f t="shared" si="4"/>
        <v>8.2416666662499996</v>
      </c>
      <c r="H73">
        <f t="shared" si="5"/>
        <v>16.483333332499999</v>
      </c>
    </row>
    <row r="74" spans="1:8">
      <c r="A74">
        <v>68</v>
      </c>
      <c r="B74">
        <v>3</v>
      </c>
      <c r="C74">
        <v>76</v>
      </c>
      <c r="D74" t="s">
        <v>136</v>
      </c>
      <c r="E74" t="s">
        <v>137</v>
      </c>
      <c r="F74">
        <f>'A-Demande-bière'!U$23/5</f>
        <v>164.83333332499998</v>
      </c>
      <c r="G74">
        <f t="shared" si="4"/>
        <v>8.2416666662499996</v>
      </c>
      <c r="H74">
        <f t="shared" si="5"/>
        <v>16.483333332499999</v>
      </c>
    </row>
    <row r="75" spans="1:8">
      <c r="A75">
        <v>69</v>
      </c>
      <c r="B75">
        <v>3</v>
      </c>
      <c r="C75">
        <v>76</v>
      </c>
      <c r="D75" t="s">
        <v>138</v>
      </c>
      <c r="E75" t="s">
        <v>139</v>
      </c>
      <c r="F75">
        <f>'A-Demande-bière'!U$23/5</f>
        <v>164.83333332499998</v>
      </c>
      <c r="G75">
        <f t="shared" si="4"/>
        <v>8.2416666662499996</v>
      </c>
      <c r="H75">
        <f t="shared" si="5"/>
        <v>16.483333332499999</v>
      </c>
    </row>
    <row r="76" spans="1:8">
      <c r="F76">
        <f>SUM(F5:F75)</f>
        <v>13845.999999299995</v>
      </c>
      <c r="G76">
        <f t="shared" ref="G76:H76" si="6">SUM(G5:G75)</f>
        <v>692.2999999649993</v>
      </c>
      <c r="H76">
        <f t="shared" si="6"/>
        <v>1384.5999999299986</v>
      </c>
    </row>
  </sheetData>
  <sheetProtection sheet="1" objects="1" scenarios="1"/>
  <sortState xmlns:xlrd2="http://schemas.microsoft.com/office/spreadsheetml/2017/richdata2" ref="A5:J75">
    <sortCondition ref="A5:A75"/>
  </sortState>
  <mergeCells count="4">
    <mergeCell ref="K3:L3"/>
    <mergeCell ref="A3:C3"/>
    <mergeCell ref="D3:E3"/>
    <mergeCell ref="F3:H3"/>
  </mergeCells>
  <pageMargins left="0.7" right="0.7" top="0.75" bottom="0.75" header="0.3" footer="0.3"/>
  <drawing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6DC46-48BE-4420-9BAC-8B31E9785A8E}">
  <sheetPr codeName="Feuil7"/>
  <dimension ref="A1:AH78"/>
  <sheetViews>
    <sheetView topLeftCell="J37" zoomScale="70" zoomScaleNormal="70" workbookViewId="0">
      <selection activeCell="K6" sqref="K6:K76"/>
    </sheetView>
  </sheetViews>
  <sheetFormatPr baseColWidth="10" defaultRowHeight="15.75"/>
  <cols>
    <col min="2" max="2" width="15.375" customWidth="1"/>
    <col min="3" max="3" width="13.25" customWidth="1"/>
    <col min="4" max="4" width="24.875" customWidth="1"/>
    <col min="6" max="6" width="17.625" customWidth="1"/>
    <col min="7" max="7" width="18.75" customWidth="1"/>
    <col min="8" max="8" width="12" customWidth="1"/>
    <col min="9" max="9" width="18.625" customWidth="1"/>
    <col min="10" max="10" width="19.5" customWidth="1"/>
    <col min="11" max="11" width="15.125" customWidth="1"/>
    <col min="12" max="12" width="24.125" customWidth="1"/>
    <col min="13" max="13" width="25.375" customWidth="1"/>
    <col min="16" max="16" width="14.25" customWidth="1"/>
    <col min="18" max="19" width="13.875" customWidth="1"/>
  </cols>
  <sheetData>
    <row r="1" spans="1:34">
      <c r="D1" s="85" t="s">
        <v>655</v>
      </c>
    </row>
    <row r="3" spans="1:34" ht="18.75">
      <c r="V3" s="140" t="s">
        <v>539</v>
      </c>
      <c r="W3" s="140"/>
      <c r="X3" s="140"/>
      <c r="Y3" s="140"/>
      <c r="Z3" s="140"/>
      <c r="AA3" s="140"/>
      <c r="AB3" s="140"/>
      <c r="AC3" s="140"/>
      <c r="AD3" s="140"/>
      <c r="AE3" s="140"/>
      <c r="AF3" s="140"/>
      <c r="AG3" s="140"/>
      <c r="AH3" s="140"/>
    </row>
    <row r="4" spans="1:34" ht="15.75" customHeight="1">
      <c r="A4" s="134" t="s">
        <v>647</v>
      </c>
      <c r="B4" s="134"/>
      <c r="C4" s="134"/>
      <c r="D4" s="134" t="s">
        <v>153</v>
      </c>
      <c r="E4" s="134"/>
      <c r="F4" s="134" t="s">
        <v>661</v>
      </c>
      <c r="G4" s="134"/>
      <c r="H4" s="134"/>
      <c r="I4" s="134"/>
      <c r="J4" s="134"/>
      <c r="K4" s="134"/>
      <c r="L4" s="134"/>
      <c r="M4" s="134"/>
      <c r="V4" s="134"/>
      <c r="W4" s="12" t="s">
        <v>538</v>
      </c>
      <c r="X4" s="134" t="s">
        <v>537</v>
      </c>
      <c r="Y4" s="134"/>
      <c r="Z4" s="12" t="s">
        <v>536</v>
      </c>
      <c r="AA4" s="12" t="s">
        <v>535</v>
      </c>
      <c r="AB4" s="134" t="s">
        <v>534</v>
      </c>
      <c r="AC4" s="134"/>
      <c r="AD4" s="134" t="s">
        <v>533</v>
      </c>
      <c r="AE4" s="134"/>
      <c r="AF4" s="134"/>
      <c r="AG4" s="134" t="s">
        <v>154</v>
      </c>
      <c r="AH4" s="134" t="s">
        <v>521</v>
      </c>
    </row>
    <row r="5" spans="1:34" ht="45">
      <c r="A5" s="99" t="s">
        <v>151</v>
      </c>
      <c r="B5" s="99" t="s">
        <v>144</v>
      </c>
      <c r="C5" s="99" t="s">
        <v>145</v>
      </c>
      <c r="D5" s="99" t="s">
        <v>0</v>
      </c>
      <c r="E5" s="99" t="s">
        <v>1</v>
      </c>
      <c r="F5" s="101" t="s">
        <v>620</v>
      </c>
      <c r="G5" s="101" t="s">
        <v>621</v>
      </c>
      <c r="H5" s="101" t="s">
        <v>622</v>
      </c>
      <c r="I5" s="101" t="s">
        <v>623</v>
      </c>
      <c r="J5" s="101" t="s">
        <v>624</v>
      </c>
      <c r="K5" s="12" t="s">
        <v>523</v>
      </c>
      <c r="L5" s="12" t="s">
        <v>213</v>
      </c>
      <c r="M5" s="12" t="s">
        <v>212</v>
      </c>
      <c r="P5" s="12" t="s">
        <v>145</v>
      </c>
      <c r="Q5" s="12" t="s">
        <v>523</v>
      </c>
      <c r="R5" s="12" t="s">
        <v>625</v>
      </c>
      <c r="S5" s="12" t="s">
        <v>626</v>
      </c>
      <c r="V5" s="134"/>
      <c r="W5" s="12" t="s">
        <v>532</v>
      </c>
      <c r="X5" s="12" t="s">
        <v>532</v>
      </c>
      <c r="Y5" s="12" t="s">
        <v>531</v>
      </c>
      <c r="Z5" s="12" t="s">
        <v>530</v>
      </c>
      <c r="AA5" s="12" t="s">
        <v>529</v>
      </c>
      <c r="AB5" s="12" t="s">
        <v>528</v>
      </c>
      <c r="AC5" s="12" t="s">
        <v>527</v>
      </c>
      <c r="AD5" s="12" t="s">
        <v>526</v>
      </c>
      <c r="AE5" s="12" t="s">
        <v>441</v>
      </c>
      <c r="AF5" s="12" t="s">
        <v>525</v>
      </c>
      <c r="AG5" s="134"/>
      <c r="AH5" s="134"/>
    </row>
    <row r="6" spans="1:34">
      <c r="A6">
        <v>22</v>
      </c>
      <c r="B6">
        <v>1</v>
      </c>
      <c r="C6">
        <v>14</v>
      </c>
      <c r="D6" t="s">
        <v>44</v>
      </c>
      <c r="E6" t="s">
        <v>45</v>
      </c>
      <c r="F6">
        <v>671</v>
      </c>
      <c r="G6">
        <v>0.14241001564945227</v>
      </c>
      <c r="H6">
        <f t="shared" ref="H6:H37" si="0">F6*G6</f>
        <v>95.557120500782474</v>
      </c>
      <c r="I6">
        <f t="shared" ref="I6:I37" si="1">H6/$H$78</f>
        <v>2.3139101942047994E-2</v>
      </c>
      <c r="J6">
        <f t="shared" ref="J6:J37" si="2">I6*$J$78</f>
        <v>999795.84379962273</v>
      </c>
      <c r="K6">
        <f t="shared" ref="K6:K37" si="3">J6/1000</f>
        <v>999.79584379962273</v>
      </c>
      <c r="L6">
        <f t="shared" ref="L6:L37" si="4">K6*0.05</f>
        <v>49.989792189981138</v>
      </c>
      <c r="M6">
        <f t="shared" ref="M6:M37" si="5">L6*2</f>
        <v>99.979584379962276</v>
      </c>
      <c r="P6" s="11" t="s">
        <v>181</v>
      </c>
      <c r="Q6" s="88">
        <f>SUM(K6:K21)</f>
        <v>9188.7603395476581</v>
      </c>
      <c r="R6" s="88">
        <f>SUM(H6:H21)</f>
        <v>878.2307752771012</v>
      </c>
      <c r="S6" s="89">
        <f>Q6/$Q$11</f>
        <v>0.21266307870394954</v>
      </c>
      <c r="V6" s="11" t="s">
        <v>181</v>
      </c>
      <c r="W6" s="88">
        <f t="shared" ref="W6:AF10" si="6">W$11*$S6</f>
        <v>255.19569444473944</v>
      </c>
      <c r="X6" s="88">
        <f t="shared" si="6"/>
        <v>146.73752430572517</v>
      </c>
      <c r="Y6" s="88">
        <f t="shared" si="6"/>
        <v>29.347504861145037</v>
      </c>
      <c r="Z6" s="88">
        <f t="shared" si="6"/>
        <v>995.26320833448381</v>
      </c>
      <c r="AA6" s="88">
        <f t="shared" si="6"/>
        <v>64.224249768592756</v>
      </c>
      <c r="AB6" s="88">
        <f t="shared" si="6"/>
        <v>89.318493055658806</v>
      </c>
      <c r="AC6" s="88">
        <f t="shared" si="6"/>
        <v>595.45662037105876</v>
      </c>
      <c r="AD6" s="88">
        <f t="shared" si="6"/>
        <v>1594.9730902796216</v>
      </c>
      <c r="AE6" s="88">
        <f t="shared" si="6"/>
        <v>5388.8824143580814</v>
      </c>
      <c r="AF6" s="88">
        <f t="shared" si="6"/>
        <v>29.432570092626619</v>
      </c>
      <c r="AG6" s="88">
        <f t="shared" ref="AG6:AG10" si="7">SUM(W6:AF6)</f>
        <v>9188.8313698717338</v>
      </c>
      <c r="AH6" s="88">
        <f>AH$11*$S6</f>
        <v>21.266307870394954</v>
      </c>
    </row>
    <row r="7" spans="1:34">
      <c r="A7">
        <v>36</v>
      </c>
      <c r="B7">
        <v>1</v>
      </c>
      <c r="C7">
        <v>14</v>
      </c>
      <c r="D7" t="s">
        <v>72</v>
      </c>
      <c r="E7" t="s">
        <v>73</v>
      </c>
      <c r="F7">
        <v>182</v>
      </c>
      <c r="G7">
        <v>0.18</v>
      </c>
      <c r="H7">
        <f t="shared" si="0"/>
        <v>32.76</v>
      </c>
      <c r="I7">
        <f t="shared" si="1"/>
        <v>7.9328152172112067E-3</v>
      </c>
      <c r="J7">
        <f t="shared" si="2"/>
        <v>342761.60343914333</v>
      </c>
      <c r="K7">
        <f t="shared" si="3"/>
        <v>342.76160343914336</v>
      </c>
      <c r="L7">
        <f t="shared" si="4"/>
        <v>17.138080171957167</v>
      </c>
      <c r="M7">
        <f t="shared" si="5"/>
        <v>34.276160343914334</v>
      </c>
      <c r="P7" s="11" t="s">
        <v>205</v>
      </c>
      <c r="Q7" s="88">
        <f>SUM(K22:K34)</f>
        <v>4798.0551686413164</v>
      </c>
      <c r="R7" s="88">
        <f>SUM(H22:H34)</f>
        <v>458.58195826942227</v>
      </c>
      <c r="S7" s="89">
        <f>Q7/$Q$11</f>
        <v>0.11104535826917547</v>
      </c>
      <c r="V7" s="11" t="s">
        <v>205</v>
      </c>
      <c r="W7" s="88">
        <f t="shared" si="6"/>
        <v>133.25442992301058</v>
      </c>
      <c r="X7" s="88">
        <f t="shared" si="6"/>
        <v>76.621297205731068</v>
      </c>
      <c r="Y7" s="88">
        <f t="shared" si="6"/>
        <v>15.324259441146214</v>
      </c>
      <c r="Z7" s="88">
        <f t="shared" si="6"/>
        <v>519.69227669974123</v>
      </c>
      <c r="AA7" s="88">
        <f t="shared" si="6"/>
        <v>33.535698197290991</v>
      </c>
      <c r="AB7" s="88">
        <f t="shared" si="6"/>
        <v>46.6390504730537</v>
      </c>
      <c r="AC7" s="88">
        <f t="shared" si="6"/>
        <v>310.92700315369132</v>
      </c>
      <c r="AD7" s="88">
        <f t="shared" si="6"/>
        <v>832.84018701881598</v>
      </c>
      <c r="AE7" s="88">
        <f t="shared" si="6"/>
        <v>2813.8893785409064</v>
      </c>
      <c r="AF7" s="88">
        <f t="shared" si="6"/>
        <v>15.368677584453886</v>
      </c>
      <c r="AG7" s="88">
        <f t="shared" si="7"/>
        <v>4798.0922582378407</v>
      </c>
      <c r="AH7" s="88">
        <f>AH$11*$S7</f>
        <v>11.104535826917546</v>
      </c>
    </row>
    <row r="8" spans="1:34">
      <c r="A8">
        <v>58</v>
      </c>
      <c r="B8">
        <v>1</v>
      </c>
      <c r="C8">
        <v>14</v>
      </c>
      <c r="D8" t="s">
        <v>116</v>
      </c>
      <c r="E8" t="s">
        <v>117</v>
      </c>
      <c r="F8">
        <v>246</v>
      </c>
      <c r="G8">
        <v>0.15736040609137056</v>
      </c>
      <c r="H8">
        <f t="shared" si="0"/>
        <v>38.710659898477161</v>
      </c>
      <c r="I8">
        <f t="shared" si="1"/>
        <v>9.3737640998451562E-3</v>
      </c>
      <c r="J8">
        <f t="shared" si="2"/>
        <v>405022.21785681869</v>
      </c>
      <c r="K8">
        <f t="shared" si="3"/>
        <v>405.02221785681871</v>
      </c>
      <c r="L8">
        <f t="shared" si="4"/>
        <v>20.251110892840938</v>
      </c>
      <c r="M8">
        <f t="shared" si="5"/>
        <v>40.502221785681876</v>
      </c>
      <c r="P8" s="11" t="s">
        <v>200</v>
      </c>
      <c r="Q8" s="88">
        <f>SUM(K35:K42)</f>
        <v>12531.222219244986</v>
      </c>
      <c r="R8" s="88">
        <f>SUM(H35:H42)</f>
        <v>1197.6920278801099</v>
      </c>
      <c r="S8" s="89">
        <f>Q8/$Q$11</f>
        <v>0.29002043786019194</v>
      </c>
      <c r="V8" s="11" t="s">
        <v>200</v>
      </c>
      <c r="W8" s="88">
        <f t="shared" si="6"/>
        <v>348.02452543223035</v>
      </c>
      <c r="X8" s="88">
        <f t="shared" si="6"/>
        <v>200.11410212353243</v>
      </c>
      <c r="Y8" s="88">
        <f t="shared" si="6"/>
        <v>40.022820424706488</v>
      </c>
      <c r="Z8" s="88">
        <f t="shared" si="6"/>
        <v>1357.2956491856983</v>
      </c>
      <c r="AA8" s="88">
        <f t="shared" si="6"/>
        <v>87.586172233777958</v>
      </c>
      <c r="AB8" s="88">
        <f t="shared" si="6"/>
        <v>121.80858390128061</v>
      </c>
      <c r="AC8" s="88">
        <f t="shared" si="6"/>
        <v>812.05722600853744</v>
      </c>
      <c r="AD8" s="88">
        <f t="shared" si="6"/>
        <v>2175.1532839514393</v>
      </c>
      <c r="AE8" s="88">
        <f t="shared" si="6"/>
        <v>7349.1178953772633</v>
      </c>
      <c r="AF8" s="88">
        <f t="shared" si="6"/>
        <v>40.138828599850562</v>
      </c>
      <c r="AG8" s="88">
        <f t="shared" si="7"/>
        <v>12531.319087238317</v>
      </c>
      <c r="AH8" s="88">
        <f>AH$11*$S8</f>
        <v>29.002043786019193</v>
      </c>
    </row>
    <row r="9" spans="1:34">
      <c r="A9">
        <v>12</v>
      </c>
      <c r="B9">
        <v>2</v>
      </c>
      <c r="C9">
        <v>14</v>
      </c>
      <c r="D9" t="s">
        <v>24</v>
      </c>
      <c r="E9" t="s">
        <v>25</v>
      </c>
      <c r="F9">
        <v>60</v>
      </c>
      <c r="G9">
        <v>0.22641509433962265</v>
      </c>
      <c r="H9">
        <f t="shared" si="0"/>
        <v>13.584905660377359</v>
      </c>
      <c r="I9">
        <f t="shared" si="1"/>
        <v>3.289577116819908E-3</v>
      </c>
      <c r="J9">
        <f t="shared" si="2"/>
        <v>142136.26516240655</v>
      </c>
      <c r="K9">
        <f t="shared" si="3"/>
        <v>142.13626516240654</v>
      </c>
      <c r="L9">
        <f t="shared" si="4"/>
        <v>7.1068132581203276</v>
      </c>
      <c r="M9">
        <f t="shared" si="5"/>
        <v>14.213626516240655</v>
      </c>
      <c r="P9" s="11" t="s">
        <v>272</v>
      </c>
      <c r="Q9" s="88">
        <f>SUM(K43:K58)</f>
        <v>6444.1584817248504</v>
      </c>
      <c r="R9" s="88">
        <f>SUM(H43:H58)</f>
        <v>615.91097060785069</v>
      </c>
      <c r="S9" s="89">
        <f>Q9/$Q$11</f>
        <v>0.14914248840309174</v>
      </c>
      <c r="V9" s="11" t="s">
        <v>272</v>
      </c>
      <c r="W9" s="88">
        <f t="shared" si="6"/>
        <v>178.9709860837101</v>
      </c>
      <c r="X9" s="88">
        <f t="shared" si="6"/>
        <v>102.9083169981333</v>
      </c>
      <c r="Y9" s="88">
        <f t="shared" si="6"/>
        <v>20.58166339962666</v>
      </c>
      <c r="Z9" s="88">
        <f t="shared" si="6"/>
        <v>697.98684572646937</v>
      </c>
      <c r="AA9" s="88">
        <f t="shared" si="6"/>
        <v>45.041031497733705</v>
      </c>
      <c r="AB9" s="88">
        <f t="shared" si="6"/>
        <v>62.639845129298536</v>
      </c>
      <c r="AC9" s="88">
        <f t="shared" si="6"/>
        <v>417.59896752865689</v>
      </c>
      <c r="AD9" s="88">
        <f t="shared" si="6"/>
        <v>1118.568663023188</v>
      </c>
      <c r="AE9" s="88">
        <f t="shared" si="6"/>
        <v>3779.2706561343448</v>
      </c>
      <c r="AF9" s="88">
        <f t="shared" si="6"/>
        <v>20.641320394987897</v>
      </c>
      <c r="AG9" s="88">
        <f t="shared" si="7"/>
        <v>6444.2082959161489</v>
      </c>
      <c r="AH9" s="88">
        <f>AH$11*$S9</f>
        <v>14.914248840309174</v>
      </c>
    </row>
    <row r="10" spans="1:34">
      <c r="A10">
        <v>13</v>
      </c>
      <c r="B10">
        <v>2</v>
      </c>
      <c r="C10">
        <v>14</v>
      </c>
      <c r="D10" t="s">
        <v>26</v>
      </c>
      <c r="E10" t="s">
        <v>27</v>
      </c>
      <c r="F10">
        <v>416</v>
      </c>
      <c r="G10">
        <v>0.14828897338403041</v>
      </c>
      <c r="H10">
        <f t="shared" si="0"/>
        <v>61.688212927756652</v>
      </c>
      <c r="I10">
        <f t="shared" si="1"/>
        <v>1.4937765391815419E-2</v>
      </c>
      <c r="J10">
        <f t="shared" si="2"/>
        <v>645431.95288196474</v>
      </c>
      <c r="K10">
        <f t="shared" si="3"/>
        <v>645.43195288196478</v>
      </c>
      <c r="L10">
        <f t="shared" si="4"/>
        <v>32.271597644098243</v>
      </c>
      <c r="M10">
        <f t="shared" si="5"/>
        <v>64.543195288196486</v>
      </c>
      <c r="P10" s="11" t="s">
        <v>271</v>
      </c>
      <c r="Q10" s="88">
        <f>SUM(K59:K76)</f>
        <v>10245.869786817037</v>
      </c>
      <c r="R10" s="88">
        <f>SUM(H59:H76)</f>
        <v>979.26573702623307</v>
      </c>
      <c r="S10" s="89">
        <f>Q10/$Q$11</f>
        <v>0.23712863676359128</v>
      </c>
      <c r="V10" s="11" t="s">
        <v>271</v>
      </c>
      <c r="W10" s="88">
        <f t="shared" si="6"/>
        <v>284.55436411630956</v>
      </c>
      <c r="X10" s="88">
        <f t="shared" si="6"/>
        <v>163.61875936687798</v>
      </c>
      <c r="Y10" s="88">
        <f t="shared" si="6"/>
        <v>32.723751873375598</v>
      </c>
      <c r="Z10" s="88">
        <f t="shared" si="6"/>
        <v>1109.7620200536071</v>
      </c>
      <c r="AA10" s="88">
        <f t="shared" si="6"/>
        <v>71.612848302604561</v>
      </c>
      <c r="AB10" s="88">
        <f t="shared" si="6"/>
        <v>99.594027440708331</v>
      </c>
      <c r="AC10" s="88">
        <f t="shared" si="6"/>
        <v>663.9601829380556</v>
      </c>
      <c r="AD10" s="88">
        <f t="shared" si="6"/>
        <v>1778.4647757269345</v>
      </c>
      <c r="AE10" s="88">
        <f t="shared" si="6"/>
        <v>6008.8396555894033</v>
      </c>
      <c r="AF10" s="88">
        <f t="shared" si="6"/>
        <v>32.818603328081032</v>
      </c>
      <c r="AG10" s="88">
        <f t="shared" si="7"/>
        <v>10245.948988735958</v>
      </c>
      <c r="AH10" s="88">
        <f>AH$11*$S10</f>
        <v>23.712863676359127</v>
      </c>
    </row>
    <row r="11" spans="1:34">
      <c r="A11">
        <v>20</v>
      </c>
      <c r="B11">
        <v>2</v>
      </c>
      <c r="C11">
        <v>14</v>
      </c>
      <c r="D11" t="s">
        <v>40</v>
      </c>
      <c r="E11" t="s">
        <v>41</v>
      </c>
      <c r="F11">
        <v>268</v>
      </c>
      <c r="G11">
        <v>0.18245614035087721</v>
      </c>
      <c r="H11">
        <f t="shared" si="0"/>
        <v>48.898245614035091</v>
      </c>
      <c r="I11">
        <f t="shared" si="1"/>
        <v>1.1840682139864125E-2</v>
      </c>
      <c r="J11">
        <f t="shared" si="2"/>
        <v>511612.97533662169</v>
      </c>
      <c r="K11">
        <f t="shared" si="3"/>
        <v>511.61297533662167</v>
      </c>
      <c r="L11">
        <f t="shared" si="4"/>
        <v>25.580648766831086</v>
      </c>
      <c r="M11">
        <f t="shared" si="5"/>
        <v>51.161297533662172</v>
      </c>
      <c r="P11" s="9" t="s">
        <v>230</v>
      </c>
      <c r="Q11" s="88">
        <f>SUM(Q6:Q10)</f>
        <v>43208.065995975849</v>
      </c>
      <c r="R11" s="88">
        <f>SUM(R6:R10)</f>
        <v>4129.6814690607171</v>
      </c>
      <c r="S11" s="89">
        <f>SUM(S6:S10)</f>
        <v>1</v>
      </c>
      <c r="V11" s="116" t="s">
        <v>230</v>
      </c>
      <c r="W11" s="117">
        <v>1200</v>
      </c>
      <c r="X11" s="116">
        <v>690</v>
      </c>
      <c r="Y11" s="116">
        <v>138</v>
      </c>
      <c r="Z11" s="116">
        <v>4680</v>
      </c>
      <c r="AA11" s="116">
        <v>302</v>
      </c>
      <c r="AB11" s="116">
        <v>420</v>
      </c>
      <c r="AC11" s="116">
        <v>2800</v>
      </c>
      <c r="AD11" s="116">
        <v>7500</v>
      </c>
      <c r="AE11" s="116">
        <v>25340</v>
      </c>
      <c r="AF11" s="116">
        <v>138.4</v>
      </c>
      <c r="AG11" s="117">
        <f>SUM(W11:AF11)</f>
        <v>43208.4</v>
      </c>
      <c r="AH11" s="116">
        <v>100</v>
      </c>
    </row>
    <row r="12" spans="1:34">
      <c r="A12">
        <v>21</v>
      </c>
      <c r="B12">
        <v>2</v>
      </c>
      <c r="C12">
        <v>14</v>
      </c>
      <c r="D12" t="s">
        <v>42</v>
      </c>
      <c r="E12" t="s">
        <v>43</v>
      </c>
      <c r="F12">
        <v>117</v>
      </c>
      <c r="G12">
        <v>0.28947368421052633</v>
      </c>
      <c r="H12">
        <f t="shared" si="0"/>
        <v>33.868421052631582</v>
      </c>
      <c r="I12">
        <f t="shared" si="1"/>
        <v>8.2012187395980544E-3</v>
      </c>
      <c r="J12">
        <f t="shared" si="2"/>
        <v>354358.80054798664</v>
      </c>
      <c r="K12">
        <f t="shared" si="3"/>
        <v>354.35880054798662</v>
      </c>
      <c r="L12">
        <f t="shared" si="4"/>
        <v>17.717940027399333</v>
      </c>
      <c r="M12">
        <f t="shared" si="5"/>
        <v>35.435880054798666</v>
      </c>
    </row>
    <row r="13" spans="1:34">
      <c r="A13">
        <v>57</v>
      </c>
      <c r="B13">
        <v>2</v>
      </c>
      <c r="C13">
        <v>14</v>
      </c>
      <c r="D13" t="s">
        <v>114</v>
      </c>
      <c r="E13" t="s">
        <v>115</v>
      </c>
      <c r="F13">
        <v>324</v>
      </c>
      <c r="G13">
        <v>0.17336683417085427</v>
      </c>
      <c r="H13">
        <f t="shared" si="0"/>
        <v>56.170854271356781</v>
      </c>
      <c r="I13">
        <f t="shared" si="1"/>
        <v>1.36017401565193E-2</v>
      </c>
      <c r="J13">
        <f t="shared" si="2"/>
        <v>587704.88634300081</v>
      </c>
      <c r="K13">
        <f t="shared" si="3"/>
        <v>587.70488634300079</v>
      </c>
      <c r="L13">
        <f t="shared" si="4"/>
        <v>29.38524431715004</v>
      </c>
      <c r="M13">
        <f t="shared" si="5"/>
        <v>58.770488634300079</v>
      </c>
    </row>
    <row r="14" spans="1:34">
      <c r="A14">
        <v>59</v>
      </c>
      <c r="B14">
        <v>2</v>
      </c>
      <c r="C14">
        <v>14</v>
      </c>
      <c r="D14" t="s">
        <v>118</v>
      </c>
      <c r="E14" t="s">
        <v>119</v>
      </c>
      <c r="F14">
        <v>80</v>
      </c>
      <c r="G14">
        <v>0.16666666666666666</v>
      </c>
      <c r="H14">
        <f t="shared" si="0"/>
        <v>13.333333333333332</v>
      </c>
      <c r="I14">
        <f t="shared" si="1"/>
        <v>3.2286590220639835E-3</v>
      </c>
      <c r="J14">
        <f t="shared" si="2"/>
        <v>139504.11210384345</v>
      </c>
      <c r="K14">
        <f t="shared" si="3"/>
        <v>139.50411210384345</v>
      </c>
      <c r="L14">
        <f t="shared" si="4"/>
        <v>6.9752056051921727</v>
      </c>
      <c r="M14">
        <f t="shared" si="5"/>
        <v>13.950411210384345</v>
      </c>
    </row>
    <row r="15" spans="1:34">
      <c r="A15">
        <v>11</v>
      </c>
      <c r="B15">
        <v>3</v>
      </c>
      <c r="C15">
        <v>14</v>
      </c>
      <c r="D15" t="s">
        <v>22</v>
      </c>
      <c r="E15" t="s">
        <v>23</v>
      </c>
      <c r="F15">
        <v>154</v>
      </c>
      <c r="G15">
        <v>0.25416666666666665</v>
      </c>
      <c r="H15">
        <f t="shared" si="0"/>
        <v>39.141666666666666</v>
      </c>
      <c r="I15">
        <f t="shared" si="1"/>
        <v>9.4781321416465818E-3</v>
      </c>
      <c r="J15">
        <f t="shared" si="2"/>
        <v>409531.75909484545</v>
      </c>
      <c r="K15">
        <f t="shared" si="3"/>
        <v>409.53175909484543</v>
      </c>
      <c r="L15">
        <f t="shared" si="4"/>
        <v>20.476587954742271</v>
      </c>
      <c r="M15">
        <f t="shared" si="5"/>
        <v>40.953175909484543</v>
      </c>
    </row>
    <row r="16" spans="1:34">
      <c r="A16">
        <v>23</v>
      </c>
      <c r="B16">
        <v>3</v>
      </c>
      <c r="C16">
        <v>14</v>
      </c>
      <c r="D16" t="s">
        <v>46</v>
      </c>
      <c r="E16" t="s">
        <v>47</v>
      </c>
      <c r="F16">
        <v>165</v>
      </c>
      <c r="G16">
        <v>0.27058823529411763</v>
      </c>
      <c r="H16">
        <f t="shared" si="0"/>
        <v>44.647058823529406</v>
      </c>
      <c r="I16">
        <f t="shared" si="1"/>
        <v>1.081125969594072E-2</v>
      </c>
      <c r="J16">
        <f t="shared" si="2"/>
        <v>467133.62244184047</v>
      </c>
      <c r="K16">
        <f t="shared" si="3"/>
        <v>467.13362244184049</v>
      </c>
      <c r="L16">
        <f t="shared" si="4"/>
        <v>23.356681122092027</v>
      </c>
      <c r="M16">
        <f t="shared" si="5"/>
        <v>46.713362244184054</v>
      </c>
    </row>
    <row r="17" spans="1:13">
      <c r="A17">
        <v>38</v>
      </c>
      <c r="B17">
        <v>3</v>
      </c>
      <c r="C17">
        <v>14</v>
      </c>
      <c r="D17" t="s">
        <v>76</v>
      </c>
      <c r="E17" t="s">
        <v>77</v>
      </c>
      <c r="F17">
        <v>929</v>
      </c>
      <c r="G17">
        <v>0.18871794871794872</v>
      </c>
      <c r="H17">
        <f t="shared" si="0"/>
        <v>175.31897435897437</v>
      </c>
      <c r="I17">
        <f t="shared" si="1"/>
        <v>4.2453389122733012E-2</v>
      </c>
      <c r="J17">
        <f t="shared" si="2"/>
        <v>1834328.8389678914</v>
      </c>
      <c r="K17">
        <f t="shared" si="3"/>
        <v>1834.3288389678914</v>
      </c>
      <c r="L17">
        <f t="shared" si="4"/>
        <v>91.716441948394575</v>
      </c>
      <c r="M17">
        <f t="shared" si="5"/>
        <v>183.43288389678915</v>
      </c>
    </row>
    <row r="18" spans="1:13">
      <c r="A18">
        <v>56</v>
      </c>
      <c r="B18">
        <v>3</v>
      </c>
      <c r="C18">
        <v>14</v>
      </c>
      <c r="D18" t="s">
        <v>112</v>
      </c>
      <c r="E18" t="s">
        <v>113</v>
      </c>
      <c r="F18">
        <v>89</v>
      </c>
      <c r="G18">
        <v>0.21739130434782608</v>
      </c>
      <c r="H18">
        <f t="shared" si="0"/>
        <v>19.34782608695652</v>
      </c>
      <c r="I18">
        <f t="shared" si="1"/>
        <v>4.6850649939732805E-3</v>
      </c>
      <c r="J18">
        <f t="shared" si="2"/>
        <v>202432.59745503371</v>
      </c>
      <c r="K18">
        <f t="shared" si="3"/>
        <v>202.43259745503372</v>
      </c>
      <c r="L18">
        <f t="shared" si="4"/>
        <v>10.121629872751686</v>
      </c>
      <c r="M18">
        <f t="shared" si="5"/>
        <v>20.243259745503373</v>
      </c>
    </row>
    <row r="19" spans="1:13">
      <c r="A19">
        <v>60</v>
      </c>
      <c r="B19">
        <v>3</v>
      </c>
      <c r="C19">
        <v>14</v>
      </c>
      <c r="D19" t="s">
        <v>120</v>
      </c>
      <c r="E19" t="s">
        <v>121</v>
      </c>
      <c r="F19">
        <v>194</v>
      </c>
      <c r="G19">
        <v>0.17484662576687116</v>
      </c>
      <c r="H19">
        <f t="shared" si="0"/>
        <v>33.920245398773005</v>
      </c>
      <c r="I19">
        <f t="shared" si="1"/>
        <v>8.2137679753029602E-3</v>
      </c>
      <c r="J19">
        <f t="shared" si="2"/>
        <v>354901.02875252324</v>
      </c>
      <c r="K19">
        <f t="shared" si="3"/>
        <v>354.90102875252325</v>
      </c>
      <c r="L19">
        <f t="shared" si="4"/>
        <v>17.745051437626163</v>
      </c>
      <c r="M19">
        <f t="shared" si="5"/>
        <v>35.490102875252326</v>
      </c>
    </row>
    <row r="20" spans="1:13">
      <c r="A20">
        <v>32</v>
      </c>
      <c r="B20">
        <v>4</v>
      </c>
      <c r="C20">
        <v>14</v>
      </c>
      <c r="D20" t="s">
        <v>64</v>
      </c>
      <c r="E20" t="s">
        <v>65</v>
      </c>
      <c r="F20">
        <v>951</v>
      </c>
      <c r="G20">
        <v>0.11791383219954649</v>
      </c>
      <c r="H20">
        <f t="shared" si="0"/>
        <v>112.1360544217687</v>
      </c>
      <c r="I20">
        <f t="shared" si="1"/>
        <v>2.7153681285562604E-2</v>
      </c>
      <c r="J20">
        <f t="shared" si="2"/>
        <v>1173258.0530202833</v>
      </c>
      <c r="K20">
        <f t="shared" si="3"/>
        <v>1173.2580530202833</v>
      </c>
      <c r="L20">
        <f t="shared" si="4"/>
        <v>58.662902651014171</v>
      </c>
      <c r="M20">
        <f t="shared" si="5"/>
        <v>117.32580530202834</v>
      </c>
    </row>
    <row r="21" spans="1:13">
      <c r="A21">
        <v>37</v>
      </c>
      <c r="B21">
        <v>4</v>
      </c>
      <c r="C21">
        <v>14</v>
      </c>
      <c r="D21" t="s">
        <v>74</v>
      </c>
      <c r="E21" t="s">
        <v>75</v>
      </c>
      <c r="F21">
        <v>415</v>
      </c>
      <c r="G21">
        <v>0.1425233644859813</v>
      </c>
      <c r="H21">
        <f t="shared" si="0"/>
        <v>59.14719626168224</v>
      </c>
      <c r="I21">
        <f t="shared" si="1"/>
        <v>1.4322459663005212E-2</v>
      </c>
      <c r="J21">
        <f t="shared" si="2"/>
        <v>618845.78234383126</v>
      </c>
      <c r="K21">
        <f t="shared" si="3"/>
        <v>618.84578234383127</v>
      </c>
      <c r="L21">
        <f t="shared" si="4"/>
        <v>30.942289117191564</v>
      </c>
      <c r="M21">
        <f t="shared" si="5"/>
        <v>61.884578234383127</v>
      </c>
    </row>
    <row r="22" spans="1:13">
      <c r="A22">
        <v>45</v>
      </c>
      <c r="B22">
        <v>1</v>
      </c>
      <c r="C22">
        <v>27</v>
      </c>
      <c r="D22" t="s">
        <v>90</v>
      </c>
      <c r="E22" t="s">
        <v>91</v>
      </c>
      <c r="F22">
        <v>184</v>
      </c>
      <c r="G22">
        <v>0.11764705882352941</v>
      </c>
      <c r="H22">
        <f t="shared" si="0"/>
        <v>21.647058823529413</v>
      </c>
      <c r="I22">
        <f t="shared" si="1"/>
        <v>5.2418228828803506E-3</v>
      </c>
      <c r="J22">
        <f t="shared" si="2"/>
        <v>226489.02906271059</v>
      </c>
      <c r="K22">
        <f t="shared" si="3"/>
        <v>226.48902906271059</v>
      </c>
      <c r="L22">
        <f t="shared" si="4"/>
        <v>11.324451453135531</v>
      </c>
      <c r="M22">
        <f t="shared" si="5"/>
        <v>22.648902906271061</v>
      </c>
    </row>
    <row r="23" spans="1:13">
      <c r="A23">
        <v>51</v>
      </c>
      <c r="B23">
        <v>1</v>
      </c>
      <c r="C23">
        <v>27</v>
      </c>
      <c r="D23" t="s">
        <v>102</v>
      </c>
      <c r="E23" t="s">
        <v>103</v>
      </c>
      <c r="F23">
        <v>177</v>
      </c>
      <c r="G23">
        <v>0.15151515151515152</v>
      </c>
      <c r="H23">
        <f t="shared" si="0"/>
        <v>26.81818181818182</v>
      </c>
      <c r="I23">
        <f t="shared" si="1"/>
        <v>6.4940073511968767E-3</v>
      </c>
      <c r="J23">
        <f t="shared" si="2"/>
        <v>280593.49820886698</v>
      </c>
      <c r="K23">
        <f t="shared" si="3"/>
        <v>280.593498208867</v>
      </c>
      <c r="L23">
        <f t="shared" si="4"/>
        <v>14.029674910443351</v>
      </c>
      <c r="M23">
        <f t="shared" si="5"/>
        <v>28.059349820886702</v>
      </c>
    </row>
    <row r="24" spans="1:13">
      <c r="A24">
        <v>52</v>
      </c>
      <c r="B24">
        <v>1</v>
      </c>
      <c r="C24">
        <v>27</v>
      </c>
      <c r="D24" t="s">
        <v>104</v>
      </c>
      <c r="E24" t="s">
        <v>105</v>
      </c>
      <c r="F24">
        <v>308</v>
      </c>
      <c r="G24">
        <v>0.13392857142857142</v>
      </c>
      <c r="H24">
        <f t="shared" si="0"/>
        <v>41.25</v>
      </c>
      <c r="I24">
        <f t="shared" si="1"/>
        <v>9.9886638495104499E-3</v>
      </c>
      <c r="J24">
        <f t="shared" si="2"/>
        <v>431590.8468212657</v>
      </c>
      <c r="K24">
        <f t="shared" si="3"/>
        <v>431.5908468212657</v>
      </c>
      <c r="L24">
        <f t="shared" si="4"/>
        <v>21.579542341063288</v>
      </c>
      <c r="M24">
        <f t="shared" si="5"/>
        <v>43.159084682126576</v>
      </c>
    </row>
    <row r="25" spans="1:13">
      <c r="A25">
        <v>55</v>
      </c>
      <c r="B25">
        <v>1</v>
      </c>
      <c r="C25">
        <v>27</v>
      </c>
      <c r="D25" t="s">
        <v>110</v>
      </c>
      <c r="E25" t="s">
        <v>111</v>
      </c>
      <c r="F25">
        <v>193</v>
      </c>
      <c r="G25">
        <v>0.23394495412844038</v>
      </c>
      <c r="H25">
        <f t="shared" si="0"/>
        <v>45.151376146788991</v>
      </c>
      <c r="I25">
        <f t="shared" si="1"/>
        <v>1.0933379846620113E-2</v>
      </c>
      <c r="J25">
        <f t="shared" si="2"/>
        <v>472410.19797183416</v>
      </c>
      <c r="K25">
        <f t="shared" si="3"/>
        <v>472.41019797183418</v>
      </c>
      <c r="L25">
        <f t="shared" si="4"/>
        <v>23.62050989859171</v>
      </c>
      <c r="M25">
        <f t="shared" si="5"/>
        <v>47.241019797183419</v>
      </c>
    </row>
    <row r="26" spans="1:13">
      <c r="A26">
        <v>14</v>
      </c>
      <c r="B26">
        <v>2</v>
      </c>
      <c r="C26">
        <v>27</v>
      </c>
      <c r="D26" t="s">
        <v>28</v>
      </c>
      <c r="E26" t="s">
        <v>29</v>
      </c>
      <c r="F26">
        <v>156</v>
      </c>
      <c r="G26">
        <v>0.18947368421052632</v>
      </c>
      <c r="H26">
        <f t="shared" si="0"/>
        <v>29.557894736842105</v>
      </c>
      <c r="I26">
        <f t="shared" si="1"/>
        <v>7.1574272636492102E-3</v>
      </c>
      <c r="J26">
        <f t="shared" si="2"/>
        <v>309258.58956915193</v>
      </c>
      <c r="K26">
        <f t="shared" si="3"/>
        <v>309.25858956915192</v>
      </c>
      <c r="L26">
        <f t="shared" si="4"/>
        <v>15.462929478457596</v>
      </c>
      <c r="M26">
        <f t="shared" si="5"/>
        <v>30.925858956915192</v>
      </c>
    </row>
    <row r="27" spans="1:13">
      <c r="A27">
        <v>15</v>
      </c>
      <c r="B27">
        <v>2</v>
      </c>
      <c r="C27">
        <v>27</v>
      </c>
      <c r="D27" t="s">
        <v>30</v>
      </c>
      <c r="E27" t="s">
        <v>31</v>
      </c>
      <c r="F27">
        <v>318</v>
      </c>
      <c r="G27">
        <v>0.12280701754385964</v>
      </c>
      <c r="H27">
        <f t="shared" si="0"/>
        <v>39.052631578947363</v>
      </c>
      <c r="I27">
        <f t="shared" si="1"/>
        <v>9.4565723462031927E-3</v>
      </c>
      <c r="J27">
        <f t="shared" si="2"/>
        <v>408600.20203046774</v>
      </c>
      <c r="K27">
        <f t="shared" si="3"/>
        <v>408.60020203046776</v>
      </c>
      <c r="L27">
        <f t="shared" si="4"/>
        <v>20.43001010152339</v>
      </c>
      <c r="M27">
        <f t="shared" si="5"/>
        <v>40.86002020304678</v>
      </c>
    </row>
    <row r="28" spans="1:13">
      <c r="A28">
        <v>17</v>
      </c>
      <c r="B28">
        <v>2</v>
      </c>
      <c r="C28">
        <v>27</v>
      </c>
      <c r="D28" t="s">
        <v>34</v>
      </c>
      <c r="E28" t="s">
        <v>35</v>
      </c>
      <c r="F28">
        <v>273</v>
      </c>
      <c r="G28">
        <v>0.155893536121673</v>
      </c>
      <c r="H28">
        <f t="shared" si="0"/>
        <v>42.558935361216733</v>
      </c>
      <c r="I28">
        <f t="shared" si="1"/>
        <v>1.0305621796757274E-2</v>
      </c>
      <c r="J28">
        <f t="shared" si="2"/>
        <v>445285.98672385555</v>
      </c>
      <c r="K28">
        <f t="shared" si="3"/>
        <v>445.28598672385556</v>
      </c>
      <c r="L28">
        <f t="shared" si="4"/>
        <v>22.264299336192778</v>
      </c>
      <c r="M28">
        <f t="shared" si="5"/>
        <v>44.528598672385556</v>
      </c>
    </row>
    <row r="29" spans="1:13">
      <c r="A29">
        <v>18</v>
      </c>
      <c r="B29">
        <v>2</v>
      </c>
      <c r="C29">
        <v>27</v>
      </c>
      <c r="D29" t="s">
        <v>36</v>
      </c>
      <c r="E29" t="s">
        <v>37</v>
      </c>
      <c r="F29">
        <v>587</v>
      </c>
      <c r="G29">
        <v>0.13049853372434017</v>
      </c>
      <c r="H29">
        <f t="shared" si="0"/>
        <v>76.602639296187675</v>
      </c>
      <c r="I29">
        <f t="shared" si="1"/>
        <v>1.8549285185816205E-2</v>
      </c>
      <c r="J29">
        <f t="shared" si="2"/>
        <v>801478.73848692374</v>
      </c>
      <c r="K29">
        <f t="shared" si="3"/>
        <v>801.4787384869237</v>
      </c>
      <c r="L29">
        <f t="shared" si="4"/>
        <v>40.073936924346185</v>
      </c>
      <c r="M29">
        <f t="shared" si="5"/>
        <v>80.14787384869237</v>
      </c>
    </row>
    <row r="30" spans="1:13">
      <c r="A30">
        <v>19</v>
      </c>
      <c r="B30">
        <v>2</v>
      </c>
      <c r="C30">
        <v>27</v>
      </c>
      <c r="D30" t="s">
        <v>38</v>
      </c>
      <c r="E30" t="s">
        <v>39</v>
      </c>
      <c r="F30">
        <v>466</v>
      </c>
      <c r="G30">
        <v>0.10975609756097561</v>
      </c>
      <c r="H30">
        <f t="shared" si="0"/>
        <v>51.146341463414636</v>
      </c>
      <c r="I30">
        <f t="shared" si="1"/>
        <v>1.2385057260856416E-2</v>
      </c>
      <c r="J30">
        <f t="shared" si="2"/>
        <v>535134.37149102392</v>
      </c>
      <c r="K30">
        <f t="shared" si="3"/>
        <v>535.1343714910239</v>
      </c>
      <c r="L30">
        <f t="shared" si="4"/>
        <v>26.756718574551197</v>
      </c>
      <c r="M30">
        <f t="shared" si="5"/>
        <v>53.513437149102394</v>
      </c>
    </row>
    <row r="31" spans="1:13">
      <c r="A31">
        <v>62</v>
      </c>
      <c r="B31">
        <v>2</v>
      </c>
      <c r="C31">
        <v>27</v>
      </c>
      <c r="D31" t="s">
        <v>124</v>
      </c>
      <c r="E31" t="s">
        <v>125</v>
      </c>
      <c r="F31">
        <v>221</v>
      </c>
      <c r="G31">
        <v>0.14351851851851852</v>
      </c>
      <c r="H31">
        <f t="shared" si="0"/>
        <v>31.717592592592592</v>
      </c>
      <c r="I31">
        <f t="shared" si="1"/>
        <v>7.6803968611667888E-3</v>
      </c>
      <c r="J31">
        <f t="shared" si="2"/>
        <v>331855.09445258038</v>
      </c>
      <c r="K31">
        <f t="shared" si="3"/>
        <v>331.85509445258037</v>
      </c>
      <c r="L31">
        <f t="shared" si="4"/>
        <v>16.592754722629021</v>
      </c>
      <c r="M31">
        <f t="shared" si="5"/>
        <v>33.185509445258042</v>
      </c>
    </row>
    <row r="32" spans="1:13">
      <c r="A32">
        <v>7</v>
      </c>
      <c r="B32">
        <v>3</v>
      </c>
      <c r="C32">
        <v>27</v>
      </c>
      <c r="D32" t="s">
        <v>14</v>
      </c>
      <c r="E32" t="s">
        <v>15</v>
      </c>
      <c r="F32">
        <v>40</v>
      </c>
      <c r="G32">
        <v>0.11844660194174757</v>
      </c>
      <c r="H32">
        <f t="shared" si="0"/>
        <v>4.7378640776699026</v>
      </c>
      <c r="I32">
        <f t="shared" si="1"/>
        <v>1.1472710699761339E-3</v>
      </c>
      <c r="J32">
        <f t="shared" si="2"/>
        <v>49571.364106802619</v>
      </c>
      <c r="K32">
        <f t="shared" si="3"/>
        <v>49.571364106802619</v>
      </c>
      <c r="L32">
        <f t="shared" si="4"/>
        <v>2.4785682053401312</v>
      </c>
      <c r="M32">
        <f t="shared" si="5"/>
        <v>4.9571364106802625</v>
      </c>
    </row>
    <row r="33" spans="1:13">
      <c r="A33">
        <v>47</v>
      </c>
      <c r="B33">
        <v>3</v>
      </c>
      <c r="C33">
        <v>27</v>
      </c>
      <c r="D33" t="s">
        <v>94</v>
      </c>
      <c r="E33" t="s">
        <v>95</v>
      </c>
      <c r="F33">
        <v>235</v>
      </c>
      <c r="G33">
        <v>0.10559006211180125</v>
      </c>
      <c r="H33">
        <f t="shared" si="0"/>
        <v>24.813664596273291</v>
      </c>
      <c r="I33">
        <f t="shared" si="1"/>
        <v>6.0086146551920567E-3</v>
      </c>
      <c r="J33">
        <f t="shared" si="2"/>
        <v>259620.61856592607</v>
      </c>
      <c r="K33">
        <f t="shared" si="3"/>
        <v>259.62061856592607</v>
      </c>
      <c r="L33">
        <f t="shared" si="4"/>
        <v>12.981030928296304</v>
      </c>
      <c r="M33">
        <f t="shared" si="5"/>
        <v>25.962061856592609</v>
      </c>
    </row>
    <row r="34" spans="1:13">
      <c r="A34">
        <v>61</v>
      </c>
      <c r="B34">
        <v>3</v>
      </c>
      <c r="C34">
        <v>27</v>
      </c>
      <c r="D34" t="s">
        <v>122</v>
      </c>
      <c r="E34" t="s">
        <v>123</v>
      </c>
      <c r="F34">
        <v>154</v>
      </c>
      <c r="G34">
        <v>0.15277777777777779</v>
      </c>
      <c r="H34">
        <f t="shared" si="0"/>
        <v>23.527777777777779</v>
      </c>
      <c r="I34">
        <f t="shared" si="1"/>
        <v>5.6972378993504049E-3</v>
      </c>
      <c r="J34">
        <f t="shared" si="2"/>
        <v>246166.63114990713</v>
      </c>
      <c r="K34">
        <f t="shared" si="3"/>
        <v>246.16663114990712</v>
      </c>
      <c r="L34">
        <f t="shared" si="4"/>
        <v>12.308331557495357</v>
      </c>
      <c r="M34">
        <f t="shared" si="5"/>
        <v>24.616663114990715</v>
      </c>
    </row>
    <row r="35" spans="1:13">
      <c r="A35">
        <v>8</v>
      </c>
      <c r="B35">
        <v>1</v>
      </c>
      <c r="C35">
        <v>50</v>
      </c>
      <c r="D35" t="s">
        <v>16</v>
      </c>
      <c r="E35" t="s">
        <v>17</v>
      </c>
      <c r="F35">
        <v>405</v>
      </c>
      <c r="G35">
        <v>0.19750000000000001</v>
      </c>
      <c r="H35">
        <f t="shared" si="0"/>
        <v>79.987499999999997</v>
      </c>
      <c r="I35">
        <f t="shared" si="1"/>
        <v>1.9368927264550716E-2</v>
      </c>
      <c r="J35">
        <f t="shared" si="2"/>
        <v>836893.8875179633</v>
      </c>
      <c r="K35">
        <f t="shared" si="3"/>
        <v>836.89388751796332</v>
      </c>
      <c r="L35">
        <f t="shared" si="4"/>
        <v>41.844694375898172</v>
      </c>
      <c r="M35">
        <f t="shared" si="5"/>
        <v>83.689388751796344</v>
      </c>
    </row>
    <row r="36" spans="1:13">
      <c r="A36">
        <v>34</v>
      </c>
      <c r="B36">
        <v>1</v>
      </c>
      <c r="C36">
        <v>50</v>
      </c>
      <c r="D36" t="s">
        <v>68</v>
      </c>
      <c r="E36" t="s">
        <v>69</v>
      </c>
      <c r="F36">
        <v>2217</v>
      </c>
      <c r="G36">
        <v>0.10813823857302118</v>
      </c>
      <c r="H36">
        <f t="shared" si="0"/>
        <v>239.74247491638798</v>
      </c>
      <c r="I36">
        <f t="shared" si="1"/>
        <v>5.8053502845805828E-2</v>
      </c>
      <c r="J36">
        <f t="shared" si="2"/>
        <v>2508379.5822591502</v>
      </c>
      <c r="K36">
        <f t="shared" si="3"/>
        <v>2508.3795822591501</v>
      </c>
      <c r="L36">
        <f t="shared" si="4"/>
        <v>125.41897911295752</v>
      </c>
      <c r="M36">
        <f t="shared" si="5"/>
        <v>250.83795822591503</v>
      </c>
    </row>
    <row r="37" spans="1:13">
      <c r="A37">
        <v>9</v>
      </c>
      <c r="B37">
        <v>2</v>
      </c>
      <c r="C37">
        <v>50</v>
      </c>
      <c r="D37" t="s">
        <v>18</v>
      </c>
      <c r="E37" t="s">
        <v>19</v>
      </c>
      <c r="F37">
        <v>566</v>
      </c>
      <c r="G37">
        <v>0.1313364055299539</v>
      </c>
      <c r="H37">
        <f t="shared" si="0"/>
        <v>74.336405529953907</v>
      </c>
      <c r="I37">
        <f t="shared" si="1"/>
        <v>1.8000517978656951E-2</v>
      </c>
      <c r="J37">
        <f t="shared" si="2"/>
        <v>777767.56878355937</v>
      </c>
      <c r="K37">
        <f t="shared" si="3"/>
        <v>777.76756878355934</v>
      </c>
      <c r="L37">
        <f t="shared" si="4"/>
        <v>38.88837843917797</v>
      </c>
      <c r="M37">
        <f t="shared" si="5"/>
        <v>77.77675687835594</v>
      </c>
    </row>
    <row r="38" spans="1:13">
      <c r="A38">
        <v>26</v>
      </c>
      <c r="B38">
        <v>2</v>
      </c>
      <c r="C38">
        <v>50</v>
      </c>
      <c r="D38" t="s">
        <v>52</v>
      </c>
      <c r="E38" t="s">
        <v>53</v>
      </c>
      <c r="F38">
        <v>1689</v>
      </c>
      <c r="G38">
        <v>0.21163366336633663</v>
      </c>
      <c r="H38">
        <f t="shared" ref="H38:H69" si="8">F38*G38</f>
        <v>357.44925742574259</v>
      </c>
      <c r="I38">
        <f t="shared" ref="I38:I69" si="9">H38/$H$78</f>
        <v>8.6556132743827147E-2</v>
      </c>
      <c r="J38">
        <f t="shared" ref="J38:J69" si="10">I38*$J$78</f>
        <v>3739923.0959517299</v>
      </c>
      <c r="K38">
        <f t="shared" ref="K38:K69" si="11">J38/1000</f>
        <v>3739.9230959517299</v>
      </c>
      <c r="L38">
        <f t="shared" ref="L38:L69" si="12">K38*0.05</f>
        <v>186.99615479758651</v>
      </c>
      <c r="M38">
        <f t="shared" ref="M38:M69" si="13">L38*2</f>
        <v>373.99230959517303</v>
      </c>
    </row>
    <row r="39" spans="1:13">
      <c r="A39">
        <v>24</v>
      </c>
      <c r="B39">
        <v>3</v>
      </c>
      <c r="C39">
        <v>50</v>
      </c>
      <c r="D39" t="s">
        <v>48</v>
      </c>
      <c r="E39" t="s">
        <v>49</v>
      </c>
      <c r="F39">
        <v>1055</v>
      </c>
      <c r="G39">
        <v>0.15063731170336037</v>
      </c>
      <c r="H39">
        <f t="shared" si="8"/>
        <v>158.92236384704518</v>
      </c>
      <c r="I39">
        <f t="shared" si="9"/>
        <v>3.8482959288187311E-2</v>
      </c>
      <c r="J39">
        <f t="shared" si="10"/>
        <v>1662774.2446444493</v>
      </c>
      <c r="K39">
        <f t="shared" si="11"/>
        <v>1662.7742446444493</v>
      </c>
      <c r="L39">
        <f t="shared" si="12"/>
        <v>83.138712232222474</v>
      </c>
      <c r="M39">
        <f t="shared" si="13"/>
        <v>166.27742446444495</v>
      </c>
    </row>
    <row r="40" spans="1:13">
      <c r="A40">
        <v>25</v>
      </c>
      <c r="B40">
        <v>3</v>
      </c>
      <c r="C40">
        <v>50</v>
      </c>
      <c r="D40" t="s">
        <v>50</v>
      </c>
      <c r="E40" t="s">
        <v>51</v>
      </c>
      <c r="F40">
        <v>604</v>
      </c>
      <c r="G40">
        <v>0.18803418803418803</v>
      </c>
      <c r="H40">
        <f t="shared" si="8"/>
        <v>113.57264957264957</v>
      </c>
      <c r="I40">
        <f t="shared" si="9"/>
        <v>2.7501551977683471E-2</v>
      </c>
      <c r="J40">
        <f t="shared" si="10"/>
        <v>1188288.8728435077</v>
      </c>
      <c r="K40">
        <f t="shared" si="11"/>
        <v>1188.2888728435078</v>
      </c>
      <c r="L40">
        <f t="shared" si="12"/>
        <v>59.414443642175392</v>
      </c>
      <c r="M40">
        <f t="shared" si="13"/>
        <v>118.82888728435078</v>
      </c>
    </row>
    <row r="41" spans="1:13">
      <c r="A41">
        <v>10</v>
      </c>
      <c r="B41">
        <v>4</v>
      </c>
      <c r="C41">
        <v>50</v>
      </c>
      <c r="D41" t="s">
        <v>20</v>
      </c>
      <c r="E41" t="s">
        <v>21</v>
      </c>
      <c r="F41">
        <v>527</v>
      </c>
      <c r="G41">
        <v>0.11909650924024641</v>
      </c>
      <c r="H41">
        <f t="shared" si="8"/>
        <v>62.763860369609858</v>
      </c>
      <c r="I41">
        <f t="shared" si="9"/>
        <v>1.5198232803142874E-2</v>
      </c>
      <c r="J41">
        <f t="shared" si="10"/>
        <v>656686.24598040234</v>
      </c>
      <c r="K41">
        <f t="shared" si="11"/>
        <v>656.6862459804023</v>
      </c>
      <c r="L41">
        <f t="shared" si="12"/>
        <v>32.834312299020119</v>
      </c>
      <c r="M41">
        <f t="shared" si="13"/>
        <v>65.668624598040239</v>
      </c>
    </row>
    <row r="42" spans="1:13">
      <c r="A42">
        <v>16</v>
      </c>
      <c r="B42">
        <v>4</v>
      </c>
      <c r="C42">
        <v>50</v>
      </c>
      <c r="D42" t="s">
        <v>32</v>
      </c>
      <c r="E42" t="s">
        <v>33</v>
      </c>
      <c r="F42">
        <v>880</v>
      </c>
      <c r="G42">
        <v>0.12604263206672844</v>
      </c>
      <c r="H42">
        <f t="shared" si="8"/>
        <v>110.91751621872103</v>
      </c>
      <c r="I42">
        <f t="shared" si="9"/>
        <v>2.6858612958337642E-2</v>
      </c>
      <c r="J42">
        <f t="shared" si="10"/>
        <v>1160508.721264225</v>
      </c>
      <c r="K42">
        <f t="shared" si="11"/>
        <v>1160.508721264225</v>
      </c>
      <c r="L42">
        <f t="shared" si="12"/>
        <v>58.025436063211252</v>
      </c>
      <c r="M42">
        <f t="shared" si="13"/>
        <v>116.0508721264225</v>
      </c>
    </row>
    <row r="43" spans="1:13">
      <c r="A43">
        <v>3</v>
      </c>
      <c r="B43">
        <v>1</v>
      </c>
      <c r="C43">
        <v>61</v>
      </c>
      <c r="D43" t="s">
        <v>6</v>
      </c>
      <c r="E43" t="s">
        <v>7</v>
      </c>
      <c r="F43">
        <v>275</v>
      </c>
      <c r="G43">
        <v>0.11790393013100436</v>
      </c>
      <c r="H43">
        <f t="shared" si="8"/>
        <v>32.4235807860262</v>
      </c>
      <c r="I43">
        <f t="shared" si="9"/>
        <v>7.8513514974317949E-3</v>
      </c>
      <c r="J43">
        <f t="shared" si="10"/>
        <v>339241.71365863684</v>
      </c>
      <c r="K43">
        <f t="shared" si="11"/>
        <v>339.24171365863685</v>
      </c>
      <c r="L43">
        <f t="shared" si="12"/>
        <v>16.962085682931843</v>
      </c>
      <c r="M43">
        <f t="shared" si="13"/>
        <v>33.924171365863685</v>
      </c>
    </row>
    <row r="44" spans="1:13">
      <c r="A44">
        <v>4</v>
      </c>
      <c r="B44">
        <v>1</v>
      </c>
      <c r="C44">
        <v>61</v>
      </c>
      <c r="D44" t="s">
        <v>8</v>
      </c>
      <c r="E44" t="s">
        <v>9</v>
      </c>
      <c r="F44">
        <v>309</v>
      </c>
      <c r="G44">
        <v>0.13409961685823754</v>
      </c>
      <c r="H44">
        <f t="shared" si="8"/>
        <v>41.4367816091954</v>
      </c>
      <c r="I44">
        <f t="shared" si="9"/>
        <v>1.0033892909086777E-2</v>
      </c>
      <c r="J44">
        <f t="shared" si="10"/>
        <v>433545.10701237561</v>
      </c>
      <c r="K44">
        <f t="shared" si="11"/>
        <v>433.54510701237558</v>
      </c>
      <c r="L44">
        <f t="shared" si="12"/>
        <v>21.677255350618779</v>
      </c>
      <c r="M44">
        <f t="shared" si="13"/>
        <v>43.354510701237558</v>
      </c>
    </row>
    <row r="45" spans="1:13">
      <c r="A45">
        <v>28</v>
      </c>
      <c r="B45">
        <v>1</v>
      </c>
      <c r="C45">
        <v>61</v>
      </c>
      <c r="D45" t="s">
        <v>56</v>
      </c>
      <c r="E45" t="s">
        <v>57</v>
      </c>
      <c r="F45">
        <v>480</v>
      </c>
      <c r="G45">
        <v>9.3434343434343439E-2</v>
      </c>
      <c r="H45">
        <f t="shared" si="8"/>
        <v>44.848484848484851</v>
      </c>
      <c r="I45">
        <f t="shared" si="9"/>
        <v>1.0860034892397038E-2</v>
      </c>
      <c r="J45">
        <f t="shared" si="10"/>
        <v>469241.10434929171</v>
      </c>
      <c r="K45">
        <f t="shared" si="11"/>
        <v>469.24110434929173</v>
      </c>
      <c r="L45">
        <f t="shared" si="12"/>
        <v>23.462055217464588</v>
      </c>
      <c r="M45">
        <f t="shared" si="13"/>
        <v>46.924110434929176</v>
      </c>
    </row>
    <row r="46" spans="1:13">
      <c r="A46">
        <v>50</v>
      </c>
      <c r="B46">
        <v>1</v>
      </c>
      <c r="C46">
        <v>61</v>
      </c>
      <c r="D46" t="s">
        <v>100</v>
      </c>
      <c r="E46" t="s">
        <v>101</v>
      </c>
      <c r="F46">
        <v>201</v>
      </c>
      <c r="G46">
        <v>0.13157894736842105</v>
      </c>
      <c r="H46">
        <f t="shared" si="8"/>
        <v>26.44736842105263</v>
      </c>
      <c r="I46">
        <f t="shared" si="9"/>
        <v>6.4042150996861252E-3</v>
      </c>
      <c r="J46">
        <f t="shared" si="10"/>
        <v>276713.74867966317</v>
      </c>
      <c r="K46">
        <f t="shared" si="11"/>
        <v>276.71374867966318</v>
      </c>
      <c r="L46">
        <f t="shared" si="12"/>
        <v>13.835687433983161</v>
      </c>
      <c r="M46">
        <f t="shared" si="13"/>
        <v>27.671374867966321</v>
      </c>
    </row>
    <row r="47" spans="1:13">
      <c r="A47">
        <v>64</v>
      </c>
      <c r="B47">
        <v>1</v>
      </c>
      <c r="C47">
        <v>61</v>
      </c>
      <c r="D47" t="s">
        <v>128</v>
      </c>
      <c r="E47" t="s">
        <v>129</v>
      </c>
      <c r="F47">
        <v>200</v>
      </c>
      <c r="G47">
        <v>0.12852664576802508</v>
      </c>
      <c r="H47">
        <f t="shared" si="8"/>
        <v>25.705329153605017</v>
      </c>
      <c r="I47">
        <f t="shared" si="9"/>
        <v>6.2245307165183393E-3</v>
      </c>
      <c r="J47">
        <f t="shared" si="10"/>
        <v>268949.93399330328</v>
      </c>
      <c r="K47">
        <f t="shared" si="11"/>
        <v>268.94993399330326</v>
      </c>
      <c r="L47">
        <f t="shared" si="12"/>
        <v>13.447496699665164</v>
      </c>
      <c r="M47">
        <f t="shared" si="13"/>
        <v>26.894993399330328</v>
      </c>
    </row>
    <row r="48" spans="1:13">
      <c r="A48">
        <v>5</v>
      </c>
      <c r="B48">
        <v>2</v>
      </c>
      <c r="C48">
        <v>61</v>
      </c>
      <c r="D48" t="s">
        <v>10</v>
      </c>
      <c r="E48" t="s">
        <v>11</v>
      </c>
      <c r="F48">
        <v>621</v>
      </c>
      <c r="G48">
        <v>0.11065573770491803</v>
      </c>
      <c r="H48">
        <f t="shared" si="8"/>
        <v>68.717213114754102</v>
      </c>
      <c r="I48">
        <f t="shared" si="9"/>
        <v>1.6639833757053326E-2</v>
      </c>
      <c r="J48">
        <f t="shared" si="10"/>
        <v>718975.03513682692</v>
      </c>
      <c r="K48">
        <f t="shared" si="11"/>
        <v>718.97503513682693</v>
      </c>
      <c r="L48">
        <f t="shared" si="12"/>
        <v>35.948751756841347</v>
      </c>
      <c r="M48">
        <f t="shared" si="13"/>
        <v>71.897503513682693</v>
      </c>
    </row>
    <row r="49" spans="1:13">
      <c r="A49">
        <v>29</v>
      </c>
      <c r="B49">
        <v>2</v>
      </c>
      <c r="C49">
        <v>61</v>
      </c>
      <c r="D49" t="s">
        <v>58</v>
      </c>
      <c r="E49" t="s">
        <v>59</v>
      </c>
      <c r="F49">
        <v>487</v>
      </c>
      <c r="G49">
        <v>8.2892416225749554E-2</v>
      </c>
      <c r="H49">
        <f t="shared" si="8"/>
        <v>40.368606701940031</v>
      </c>
      <c r="I49">
        <f t="shared" si="9"/>
        <v>9.7752349677278465E-3</v>
      </c>
      <c r="J49">
        <f t="shared" si="10"/>
        <v>422368.99761175568</v>
      </c>
      <c r="K49">
        <f t="shared" si="11"/>
        <v>422.36899761175567</v>
      </c>
      <c r="L49">
        <f t="shared" si="12"/>
        <v>21.118449880587786</v>
      </c>
      <c r="M49">
        <f t="shared" si="13"/>
        <v>42.236899761175572</v>
      </c>
    </row>
    <row r="50" spans="1:13">
      <c r="A50">
        <v>49</v>
      </c>
      <c r="B50">
        <v>2</v>
      </c>
      <c r="C50">
        <v>61</v>
      </c>
      <c r="D50" t="s">
        <v>98</v>
      </c>
      <c r="E50" t="s">
        <v>99</v>
      </c>
      <c r="F50">
        <v>329</v>
      </c>
      <c r="G50">
        <v>0.11320754716981132</v>
      </c>
      <c r="H50">
        <f t="shared" si="8"/>
        <v>37.245283018867923</v>
      </c>
      <c r="I50">
        <f t="shared" si="9"/>
        <v>9.0189239286145809E-3</v>
      </c>
      <c r="J50">
        <f t="shared" si="10"/>
        <v>389690.26032026461</v>
      </c>
      <c r="K50">
        <f t="shared" si="11"/>
        <v>389.6902603202646</v>
      </c>
      <c r="L50">
        <f t="shared" si="12"/>
        <v>19.484513016013231</v>
      </c>
      <c r="M50">
        <f t="shared" si="13"/>
        <v>38.969026032026463</v>
      </c>
    </row>
    <row r="51" spans="1:13">
      <c r="A51">
        <v>63</v>
      </c>
      <c r="B51">
        <v>2</v>
      </c>
      <c r="C51">
        <v>61</v>
      </c>
      <c r="D51" t="s">
        <v>126</v>
      </c>
      <c r="E51" t="s">
        <v>127</v>
      </c>
      <c r="F51">
        <v>248</v>
      </c>
      <c r="G51">
        <v>0.13145539906103287</v>
      </c>
      <c r="H51">
        <f t="shared" si="8"/>
        <v>32.600938967136152</v>
      </c>
      <c r="I51">
        <f t="shared" si="9"/>
        <v>7.8942986793001067E-3</v>
      </c>
      <c r="J51">
        <f t="shared" si="10"/>
        <v>341097.37832714402</v>
      </c>
      <c r="K51">
        <f t="shared" si="11"/>
        <v>341.09737832714404</v>
      </c>
      <c r="L51">
        <f t="shared" si="12"/>
        <v>17.054868916357204</v>
      </c>
      <c r="M51">
        <f t="shared" si="13"/>
        <v>34.109737832714409</v>
      </c>
    </row>
    <row r="52" spans="1:13">
      <c r="A52">
        <v>6</v>
      </c>
      <c r="B52">
        <v>3</v>
      </c>
      <c r="C52">
        <v>61</v>
      </c>
      <c r="D52" t="s">
        <v>12</v>
      </c>
      <c r="E52" t="s">
        <v>13</v>
      </c>
      <c r="F52">
        <v>333</v>
      </c>
      <c r="G52">
        <v>0.18088737201365188</v>
      </c>
      <c r="H52">
        <f t="shared" si="8"/>
        <v>60.235494880546078</v>
      </c>
      <c r="I52">
        <f t="shared" si="9"/>
        <v>1.4585990549592301E-2</v>
      </c>
      <c r="J52">
        <f t="shared" si="10"/>
        <v>630232.44228346425</v>
      </c>
      <c r="K52">
        <f t="shared" si="11"/>
        <v>630.23244228346425</v>
      </c>
      <c r="L52">
        <f t="shared" si="12"/>
        <v>31.511622114173214</v>
      </c>
      <c r="M52">
        <f t="shared" si="13"/>
        <v>63.023244228346428</v>
      </c>
    </row>
    <row r="53" spans="1:13">
      <c r="A53">
        <v>27</v>
      </c>
      <c r="B53">
        <v>3</v>
      </c>
      <c r="C53">
        <v>61</v>
      </c>
      <c r="D53" t="s">
        <v>54</v>
      </c>
      <c r="E53" t="s">
        <v>55</v>
      </c>
      <c r="F53">
        <v>200</v>
      </c>
      <c r="G53">
        <v>0.1728395061728395</v>
      </c>
      <c r="H53">
        <f t="shared" si="8"/>
        <v>34.567901234567898</v>
      </c>
      <c r="I53">
        <f t="shared" si="9"/>
        <v>8.3705974646103281E-3</v>
      </c>
      <c r="J53">
        <f t="shared" si="10"/>
        <v>361677.32767663122</v>
      </c>
      <c r="K53">
        <f t="shared" si="11"/>
        <v>361.67732767663119</v>
      </c>
      <c r="L53">
        <f t="shared" si="12"/>
        <v>18.083866383831559</v>
      </c>
      <c r="M53">
        <f t="shared" si="13"/>
        <v>36.167732767663118</v>
      </c>
    </row>
    <row r="54" spans="1:13">
      <c r="A54">
        <v>30</v>
      </c>
      <c r="B54">
        <v>3</v>
      </c>
      <c r="C54">
        <v>61</v>
      </c>
      <c r="D54" t="s">
        <v>60</v>
      </c>
      <c r="E54" t="s">
        <v>61</v>
      </c>
      <c r="F54">
        <v>418</v>
      </c>
      <c r="G54">
        <v>0.13489736070381231</v>
      </c>
      <c r="H54">
        <f t="shared" si="8"/>
        <v>56.387096774193544</v>
      </c>
      <c r="I54">
        <f t="shared" si="9"/>
        <v>1.365410315459962E-2</v>
      </c>
      <c r="J54">
        <f t="shared" si="10"/>
        <v>589967.3902198025</v>
      </c>
      <c r="K54">
        <f t="shared" si="11"/>
        <v>589.9673902198025</v>
      </c>
      <c r="L54">
        <f t="shared" si="12"/>
        <v>29.498369510990127</v>
      </c>
      <c r="M54">
        <f t="shared" si="13"/>
        <v>58.996739021980254</v>
      </c>
    </row>
    <row r="55" spans="1:13">
      <c r="A55">
        <v>33</v>
      </c>
      <c r="B55">
        <v>3</v>
      </c>
      <c r="C55">
        <v>61</v>
      </c>
      <c r="D55" t="s">
        <v>66</v>
      </c>
      <c r="E55" t="s">
        <v>67</v>
      </c>
      <c r="F55">
        <v>205</v>
      </c>
      <c r="G55">
        <v>0.16748768472906403</v>
      </c>
      <c r="H55">
        <f t="shared" si="8"/>
        <v>34.334975369458128</v>
      </c>
      <c r="I55">
        <f t="shared" si="9"/>
        <v>8.3141945999209241E-3</v>
      </c>
      <c r="J55">
        <f t="shared" si="10"/>
        <v>359240.26897676935</v>
      </c>
      <c r="K55">
        <f t="shared" si="11"/>
        <v>359.24026897676936</v>
      </c>
      <c r="L55">
        <f t="shared" si="12"/>
        <v>17.962013448838469</v>
      </c>
      <c r="M55">
        <f t="shared" si="13"/>
        <v>35.924026897676939</v>
      </c>
    </row>
    <row r="56" spans="1:13">
      <c r="A56">
        <v>35</v>
      </c>
      <c r="B56">
        <v>3</v>
      </c>
      <c r="C56">
        <v>61</v>
      </c>
      <c r="D56" t="s">
        <v>70</v>
      </c>
      <c r="E56" t="s">
        <v>71</v>
      </c>
      <c r="F56">
        <v>357</v>
      </c>
      <c r="G56">
        <v>0.12147505422993492</v>
      </c>
      <c r="H56">
        <f t="shared" si="8"/>
        <v>43.366594360086765</v>
      </c>
      <c r="I56">
        <f t="shared" si="9"/>
        <v>1.0501195960266241E-2</v>
      </c>
      <c r="J56">
        <f t="shared" si="10"/>
        <v>453736.36808785878</v>
      </c>
      <c r="K56">
        <f t="shared" si="11"/>
        <v>453.73636808785875</v>
      </c>
      <c r="L56">
        <f t="shared" si="12"/>
        <v>22.686818404392938</v>
      </c>
      <c r="M56">
        <f t="shared" si="13"/>
        <v>45.373636808785875</v>
      </c>
    </row>
    <row r="57" spans="1:13">
      <c r="A57">
        <v>48</v>
      </c>
      <c r="B57">
        <v>3</v>
      </c>
      <c r="C57">
        <v>61</v>
      </c>
      <c r="D57" t="s">
        <v>96</v>
      </c>
      <c r="E57" t="s">
        <v>97</v>
      </c>
      <c r="F57">
        <v>214</v>
      </c>
      <c r="G57">
        <v>0.17050691244239632</v>
      </c>
      <c r="H57">
        <f t="shared" si="8"/>
        <v>36.488479262672811</v>
      </c>
      <c r="I57">
        <f t="shared" si="9"/>
        <v>8.8356643329617363E-3</v>
      </c>
      <c r="J57">
        <f t="shared" si="10"/>
        <v>381771.96761690069</v>
      </c>
      <c r="K57">
        <f t="shared" si="11"/>
        <v>381.77196761690067</v>
      </c>
      <c r="L57">
        <f t="shared" si="12"/>
        <v>19.088598380845035</v>
      </c>
      <c r="M57">
        <f t="shared" si="13"/>
        <v>38.17719676169007</v>
      </c>
    </row>
    <row r="58" spans="1:13">
      <c r="A58">
        <v>53</v>
      </c>
      <c r="B58">
        <v>3</v>
      </c>
      <c r="C58">
        <v>61</v>
      </c>
      <c r="D58" t="s">
        <v>106</v>
      </c>
      <c r="E58" t="s">
        <v>107</v>
      </c>
      <c r="F58">
        <v>10</v>
      </c>
      <c r="G58">
        <v>7.3684210526315783E-2</v>
      </c>
      <c r="H58">
        <f t="shared" si="8"/>
        <v>0.73684210526315785</v>
      </c>
      <c r="I58">
        <f t="shared" si="9"/>
        <v>1.7842589332458855E-4</v>
      </c>
      <c r="J58">
        <f t="shared" si="10"/>
        <v>7709.4377741597691</v>
      </c>
      <c r="K58">
        <f t="shared" si="11"/>
        <v>7.7094377741597695</v>
      </c>
      <c r="L58">
        <f t="shared" si="12"/>
        <v>0.38547188870798849</v>
      </c>
      <c r="M58">
        <f t="shared" si="13"/>
        <v>0.77094377741597697</v>
      </c>
    </row>
    <row r="59" spans="1:13">
      <c r="A59">
        <v>31</v>
      </c>
      <c r="B59">
        <v>1</v>
      </c>
      <c r="C59">
        <v>76</v>
      </c>
      <c r="D59" t="s">
        <v>62</v>
      </c>
      <c r="E59" t="s">
        <v>63</v>
      </c>
      <c r="F59">
        <v>412</v>
      </c>
      <c r="G59">
        <v>0.14153132250580047</v>
      </c>
      <c r="H59">
        <f t="shared" si="8"/>
        <v>58.310904872389791</v>
      </c>
      <c r="I59">
        <f t="shared" si="9"/>
        <v>1.4119952182571701E-2</v>
      </c>
      <c r="J59">
        <f t="shared" si="10"/>
        <v>610095.82576458133</v>
      </c>
      <c r="K59">
        <f t="shared" si="11"/>
        <v>610.09582576458138</v>
      </c>
      <c r="L59">
        <f t="shared" si="12"/>
        <v>30.504791288229072</v>
      </c>
      <c r="M59">
        <f t="shared" si="13"/>
        <v>61.009582576458143</v>
      </c>
    </row>
    <row r="60" spans="1:13">
      <c r="A60">
        <v>39</v>
      </c>
      <c r="B60">
        <v>1</v>
      </c>
      <c r="C60">
        <v>76</v>
      </c>
      <c r="D60" t="s">
        <v>78</v>
      </c>
      <c r="E60" t="s">
        <v>79</v>
      </c>
      <c r="F60">
        <v>403</v>
      </c>
      <c r="G60">
        <v>0.11202185792349727</v>
      </c>
      <c r="H60">
        <f t="shared" si="8"/>
        <v>45.144808743169399</v>
      </c>
      <c r="I60">
        <f t="shared" si="9"/>
        <v>1.0931789553599016E-2</v>
      </c>
      <c r="J60">
        <f t="shared" si="10"/>
        <v>472341.4844860257</v>
      </c>
      <c r="K60">
        <f t="shared" si="11"/>
        <v>472.34148448602571</v>
      </c>
      <c r="L60">
        <f t="shared" si="12"/>
        <v>23.617074224301287</v>
      </c>
      <c r="M60">
        <f t="shared" si="13"/>
        <v>47.234148448602575</v>
      </c>
    </row>
    <row r="61" spans="1:13">
      <c r="A61">
        <v>40</v>
      </c>
      <c r="B61">
        <v>1</v>
      </c>
      <c r="C61">
        <v>76</v>
      </c>
      <c r="D61" t="s">
        <v>80</v>
      </c>
      <c r="E61" t="s">
        <v>81</v>
      </c>
      <c r="F61">
        <v>471</v>
      </c>
      <c r="G61">
        <v>0.15310077519379844</v>
      </c>
      <c r="H61">
        <f t="shared" si="8"/>
        <v>72.110465116279073</v>
      </c>
      <c r="I61">
        <f t="shared" si="9"/>
        <v>1.7461507783717845E-2</v>
      </c>
      <c r="J61">
        <f t="shared" si="10"/>
        <v>754477.98070812668</v>
      </c>
      <c r="K61">
        <f t="shared" si="11"/>
        <v>754.47798070812667</v>
      </c>
      <c r="L61">
        <f t="shared" si="12"/>
        <v>37.723899035406333</v>
      </c>
      <c r="M61">
        <f t="shared" si="13"/>
        <v>75.447798070812667</v>
      </c>
    </row>
    <row r="62" spans="1:13">
      <c r="A62">
        <v>42</v>
      </c>
      <c r="B62">
        <v>1</v>
      </c>
      <c r="C62">
        <v>76</v>
      </c>
      <c r="D62" t="s">
        <v>84</v>
      </c>
      <c r="E62" t="s">
        <v>85</v>
      </c>
      <c r="F62">
        <v>418</v>
      </c>
      <c r="G62">
        <v>0.14327485380116958</v>
      </c>
      <c r="H62">
        <f t="shared" si="8"/>
        <v>59.888888888888886</v>
      </c>
      <c r="I62">
        <f t="shared" si="9"/>
        <v>1.4502060107437393E-2</v>
      </c>
      <c r="J62">
        <f t="shared" si="10"/>
        <v>626605.97019976354</v>
      </c>
      <c r="K62">
        <f t="shared" si="11"/>
        <v>626.60597019976353</v>
      </c>
      <c r="L62">
        <f t="shared" si="12"/>
        <v>31.330298509988179</v>
      </c>
      <c r="M62">
        <f t="shared" si="13"/>
        <v>62.660597019976358</v>
      </c>
    </row>
    <row r="63" spans="1:13">
      <c r="A63">
        <v>44</v>
      </c>
      <c r="B63">
        <v>1</v>
      </c>
      <c r="C63">
        <v>76</v>
      </c>
      <c r="D63" t="s">
        <v>88</v>
      </c>
      <c r="E63" t="s">
        <v>89</v>
      </c>
      <c r="F63">
        <v>475</v>
      </c>
      <c r="G63">
        <v>0.1766109785202864</v>
      </c>
      <c r="H63">
        <f t="shared" si="8"/>
        <v>83.890214797136039</v>
      </c>
      <c r="I63">
        <f t="shared" si="9"/>
        <v>2.0313967415074408E-2</v>
      </c>
      <c r="J63">
        <f t="shared" si="10"/>
        <v>877727.24471063795</v>
      </c>
      <c r="K63">
        <f t="shared" si="11"/>
        <v>877.72724471063793</v>
      </c>
      <c r="L63">
        <f t="shared" si="12"/>
        <v>43.886362235531898</v>
      </c>
      <c r="M63">
        <f t="shared" si="13"/>
        <v>87.772724471063796</v>
      </c>
    </row>
    <row r="64" spans="1:13">
      <c r="A64">
        <v>66</v>
      </c>
      <c r="B64">
        <v>1</v>
      </c>
      <c r="C64">
        <v>76</v>
      </c>
      <c r="D64" t="s">
        <v>132</v>
      </c>
      <c r="E64" t="s">
        <v>133</v>
      </c>
      <c r="F64">
        <v>136</v>
      </c>
      <c r="G64">
        <v>0.17197452229299362</v>
      </c>
      <c r="H64">
        <f t="shared" si="8"/>
        <v>23.388535031847134</v>
      </c>
      <c r="I64">
        <f t="shared" si="9"/>
        <v>5.6635203482574593E-3</v>
      </c>
      <c r="J64">
        <f t="shared" si="10"/>
        <v>244709.76097706045</v>
      </c>
      <c r="K64">
        <f t="shared" si="11"/>
        <v>244.70976097706045</v>
      </c>
      <c r="L64">
        <f t="shared" si="12"/>
        <v>12.235488048853023</v>
      </c>
      <c r="M64">
        <f t="shared" si="13"/>
        <v>24.470976097706046</v>
      </c>
    </row>
    <row r="65" spans="1:13">
      <c r="A65">
        <v>67</v>
      </c>
      <c r="B65">
        <v>1</v>
      </c>
      <c r="C65">
        <v>76</v>
      </c>
      <c r="D65" t="s">
        <v>134</v>
      </c>
      <c r="E65" t="s">
        <v>135</v>
      </c>
      <c r="F65">
        <v>144</v>
      </c>
      <c r="G65">
        <v>0.10596026490066225</v>
      </c>
      <c r="H65">
        <f t="shared" si="8"/>
        <v>15.258278145695364</v>
      </c>
      <c r="I65">
        <f t="shared" si="9"/>
        <v>3.6947833047195787E-3</v>
      </c>
      <c r="J65">
        <f t="shared" si="10"/>
        <v>159644.44087115332</v>
      </c>
      <c r="K65">
        <f t="shared" si="11"/>
        <v>159.64444087115331</v>
      </c>
      <c r="L65">
        <f t="shared" si="12"/>
        <v>7.9822220435576661</v>
      </c>
      <c r="M65">
        <f t="shared" si="13"/>
        <v>15.964444087115332</v>
      </c>
    </row>
    <row r="66" spans="1:13">
      <c r="A66">
        <v>70</v>
      </c>
      <c r="B66">
        <v>1</v>
      </c>
      <c r="C66">
        <v>76</v>
      </c>
      <c r="D66" t="s">
        <v>140</v>
      </c>
      <c r="E66" t="s">
        <v>141</v>
      </c>
      <c r="F66">
        <v>230</v>
      </c>
      <c r="G66">
        <v>0.15458937198067632</v>
      </c>
      <c r="H66">
        <f t="shared" si="8"/>
        <v>35.555555555555557</v>
      </c>
      <c r="I66">
        <f t="shared" si="9"/>
        <v>8.6097573921706232E-3</v>
      </c>
      <c r="J66">
        <f t="shared" si="10"/>
        <v>372010.96561024926</v>
      </c>
      <c r="K66">
        <f t="shared" si="11"/>
        <v>372.01096561024929</v>
      </c>
      <c r="L66">
        <f t="shared" si="12"/>
        <v>18.600548280512466</v>
      </c>
      <c r="M66">
        <f t="shared" si="13"/>
        <v>37.201096561024933</v>
      </c>
    </row>
    <row r="67" spans="1:13">
      <c r="A67">
        <v>71</v>
      </c>
      <c r="B67">
        <v>1</v>
      </c>
      <c r="C67">
        <v>76</v>
      </c>
      <c r="D67" t="s">
        <v>142</v>
      </c>
      <c r="E67" t="s">
        <v>143</v>
      </c>
      <c r="F67">
        <v>143</v>
      </c>
      <c r="G67">
        <v>0.18181818181818182</v>
      </c>
      <c r="H67">
        <f t="shared" si="8"/>
        <v>26</v>
      </c>
      <c r="I67">
        <f t="shared" si="9"/>
        <v>6.2958850930247686E-3</v>
      </c>
      <c r="J67">
        <f t="shared" si="10"/>
        <v>272033.01860249479</v>
      </c>
      <c r="K67">
        <f t="shared" si="11"/>
        <v>272.03301860249479</v>
      </c>
      <c r="L67">
        <f t="shared" si="12"/>
        <v>13.601650930124741</v>
      </c>
      <c r="M67">
        <f t="shared" si="13"/>
        <v>27.203301860249482</v>
      </c>
    </row>
    <row r="68" spans="1:13">
      <c r="A68">
        <v>1</v>
      </c>
      <c r="B68">
        <v>2</v>
      </c>
      <c r="C68">
        <v>76</v>
      </c>
      <c r="D68" t="s">
        <v>2</v>
      </c>
      <c r="E68" t="s">
        <v>3</v>
      </c>
      <c r="F68">
        <v>462</v>
      </c>
      <c r="G68">
        <v>0.17452830188679244</v>
      </c>
      <c r="H68">
        <f t="shared" si="8"/>
        <v>80.632075471698101</v>
      </c>
      <c r="I68">
        <f t="shared" si="9"/>
        <v>1.9525010845458161E-2</v>
      </c>
      <c r="J68">
        <f t="shared" si="10"/>
        <v>843637.95718270051</v>
      </c>
      <c r="K68">
        <f t="shared" si="11"/>
        <v>843.63795718270046</v>
      </c>
      <c r="L68">
        <f t="shared" si="12"/>
        <v>42.181897859135027</v>
      </c>
      <c r="M68">
        <f t="shared" si="13"/>
        <v>84.363795718270055</v>
      </c>
    </row>
    <row r="69" spans="1:13">
      <c r="A69">
        <v>41</v>
      </c>
      <c r="B69">
        <v>2</v>
      </c>
      <c r="C69">
        <v>76</v>
      </c>
      <c r="D69" t="s">
        <v>82</v>
      </c>
      <c r="E69" t="s">
        <v>83</v>
      </c>
      <c r="F69">
        <v>241</v>
      </c>
      <c r="G69">
        <v>0.25949367088607594</v>
      </c>
      <c r="H69">
        <f t="shared" si="8"/>
        <v>62.537974683544306</v>
      </c>
      <c r="I69">
        <f t="shared" si="9"/>
        <v>1.5143534713772574E-2</v>
      </c>
      <c r="J69">
        <f t="shared" si="10"/>
        <v>654322.84732503665</v>
      </c>
      <c r="K69">
        <f t="shared" si="11"/>
        <v>654.32284732503661</v>
      </c>
      <c r="L69">
        <f t="shared" si="12"/>
        <v>32.71614236625183</v>
      </c>
      <c r="M69">
        <f t="shared" si="13"/>
        <v>65.432284732503661</v>
      </c>
    </row>
    <row r="70" spans="1:13">
      <c r="A70">
        <v>54</v>
      </c>
      <c r="B70">
        <v>2</v>
      </c>
      <c r="C70">
        <v>76</v>
      </c>
      <c r="D70" t="s">
        <v>108</v>
      </c>
      <c r="E70" t="s">
        <v>109</v>
      </c>
      <c r="F70">
        <v>399</v>
      </c>
      <c r="G70">
        <v>0.24068767908309455</v>
      </c>
      <c r="H70">
        <f t="shared" ref="H70:H101" si="14">F70*G70</f>
        <v>96.03438395415472</v>
      </c>
      <c r="I70">
        <f t="shared" ref="I70:I101" si="15">H70/$H$78</f>
        <v>2.3254671013645374E-2</v>
      </c>
      <c r="J70">
        <f t="shared" ref="J70:J101" si="16">I70*$J$78</f>
        <v>1004789.359872296</v>
      </c>
      <c r="K70">
        <f t="shared" ref="K70:K101" si="17">J70/1000</f>
        <v>1004.789359872296</v>
      </c>
      <c r="L70">
        <f t="shared" ref="L70:L101" si="18">K70*0.05</f>
        <v>50.239467993614802</v>
      </c>
      <c r="M70">
        <f t="shared" ref="M70:M101" si="19">L70*2</f>
        <v>100.4789359872296</v>
      </c>
    </row>
    <row r="71" spans="1:13">
      <c r="A71">
        <v>65</v>
      </c>
      <c r="B71">
        <v>2</v>
      </c>
      <c r="C71">
        <v>76</v>
      </c>
      <c r="D71" t="s">
        <v>130</v>
      </c>
      <c r="E71" t="s">
        <v>131</v>
      </c>
      <c r="F71">
        <v>155</v>
      </c>
      <c r="G71">
        <v>0.16326530612244897</v>
      </c>
      <c r="H71">
        <f t="shared" si="14"/>
        <v>25.30612244897959</v>
      </c>
      <c r="I71">
        <f t="shared" si="15"/>
        <v>6.1278630418765403E-3</v>
      </c>
      <c r="J71">
        <f t="shared" si="16"/>
        <v>264773.11072770291</v>
      </c>
      <c r="K71">
        <f t="shared" si="17"/>
        <v>264.77311072770289</v>
      </c>
      <c r="L71">
        <f t="shared" si="18"/>
        <v>13.238655536385146</v>
      </c>
      <c r="M71">
        <f t="shared" si="19"/>
        <v>26.477311072770291</v>
      </c>
    </row>
    <row r="72" spans="1:13">
      <c r="A72">
        <v>2</v>
      </c>
      <c r="B72">
        <v>3</v>
      </c>
      <c r="C72">
        <v>76</v>
      </c>
      <c r="D72" t="s">
        <v>4</v>
      </c>
      <c r="E72" t="s">
        <v>5</v>
      </c>
      <c r="F72">
        <v>413</v>
      </c>
      <c r="G72">
        <v>0.33840304182509506</v>
      </c>
      <c r="H72">
        <f t="shared" si="14"/>
        <v>139.76045627376425</v>
      </c>
      <c r="I72">
        <f t="shared" si="15"/>
        <v>3.3842914355705085E-2</v>
      </c>
      <c r="J72">
        <f t="shared" si="16"/>
        <v>1462286.876977464</v>
      </c>
      <c r="K72">
        <f t="shared" si="17"/>
        <v>1462.2868769774639</v>
      </c>
      <c r="L72">
        <f t="shared" si="18"/>
        <v>73.11434384887319</v>
      </c>
      <c r="M72">
        <f t="shared" si="19"/>
        <v>146.22868769774638</v>
      </c>
    </row>
    <row r="73" spans="1:13">
      <c r="A73">
        <v>43</v>
      </c>
      <c r="B73">
        <v>3</v>
      </c>
      <c r="C73">
        <v>76</v>
      </c>
      <c r="D73" t="s">
        <v>86</v>
      </c>
      <c r="E73" t="s">
        <v>87</v>
      </c>
      <c r="F73">
        <v>262</v>
      </c>
      <c r="G73">
        <v>0.112</v>
      </c>
      <c r="H73">
        <f t="shared" si="14"/>
        <v>29.344000000000001</v>
      </c>
      <c r="I73">
        <f t="shared" si="15"/>
        <v>7.1056327757584156E-3</v>
      </c>
      <c r="J73">
        <f t="shared" si="16"/>
        <v>307020.64991813869</v>
      </c>
      <c r="K73">
        <f t="shared" si="17"/>
        <v>307.0206499181387</v>
      </c>
      <c r="L73">
        <f t="shared" si="18"/>
        <v>15.351032495906935</v>
      </c>
      <c r="M73">
        <f t="shared" si="19"/>
        <v>30.70206499181387</v>
      </c>
    </row>
    <row r="74" spans="1:13">
      <c r="A74">
        <v>46</v>
      </c>
      <c r="B74">
        <v>3</v>
      </c>
      <c r="C74">
        <v>76</v>
      </c>
      <c r="D74" t="s">
        <v>92</v>
      </c>
      <c r="E74" t="s">
        <v>93</v>
      </c>
      <c r="F74">
        <v>455</v>
      </c>
      <c r="G74">
        <v>0.17660044150110377</v>
      </c>
      <c r="H74">
        <f t="shared" si="14"/>
        <v>80.353200883002216</v>
      </c>
      <c r="I74">
        <f t="shared" si="15"/>
        <v>1.9457481523696859E-2</v>
      </c>
      <c r="J74">
        <f t="shared" si="16"/>
        <v>840720.14579137461</v>
      </c>
      <c r="K74">
        <f t="shared" si="17"/>
        <v>840.72014579137465</v>
      </c>
      <c r="L74">
        <f t="shared" si="18"/>
        <v>42.036007289568737</v>
      </c>
      <c r="M74">
        <f t="shared" si="19"/>
        <v>84.072014579137473</v>
      </c>
    </row>
    <row r="75" spans="1:13">
      <c r="A75">
        <v>68</v>
      </c>
      <c r="B75">
        <v>3</v>
      </c>
      <c r="C75">
        <v>76</v>
      </c>
      <c r="D75" t="s">
        <v>136</v>
      </c>
      <c r="E75" t="s">
        <v>137</v>
      </c>
      <c r="F75">
        <v>149</v>
      </c>
      <c r="G75">
        <v>0.22485207100591717</v>
      </c>
      <c r="H75">
        <f t="shared" si="14"/>
        <v>33.502958579881657</v>
      </c>
      <c r="I75">
        <f t="shared" si="15"/>
        <v>8.1127222113578142E-3</v>
      </c>
      <c r="J75">
        <f t="shared" si="16"/>
        <v>350535.03671536758</v>
      </c>
      <c r="K75">
        <f t="shared" si="17"/>
        <v>350.5350367153676</v>
      </c>
      <c r="L75">
        <f t="shared" si="18"/>
        <v>17.52675183576838</v>
      </c>
      <c r="M75">
        <f t="shared" si="19"/>
        <v>35.05350367153676</v>
      </c>
    </row>
    <row r="76" spans="1:13">
      <c r="A76">
        <v>69</v>
      </c>
      <c r="B76">
        <v>3</v>
      </c>
      <c r="C76">
        <v>76</v>
      </c>
      <c r="D76" t="s">
        <v>138</v>
      </c>
      <c r="E76" t="s">
        <v>139</v>
      </c>
      <c r="F76">
        <v>62</v>
      </c>
      <c r="G76">
        <v>0.19753086419753085</v>
      </c>
      <c r="H76">
        <f t="shared" si="14"/>
        <v>12.246913580246913</v>
      </c>
      <c r="I76">
        <f t="shared" si="15"/>
        <v>2.9655831017476588E-3</v>
      </c>
      <c r="J76">
        <f t="shared" si="16"/>
        <v>128137.11037686361</v>
      </c>
      <c r="K76">
        <f t="shared" si="17"/>
        <v>128.1371103768636</v>
      </c>
      <c r="L76">
        <f t="shared" si="18"/>
        <v>6.4068555188431802</v>
      </c>
      <c r="M76">
        <f t="shared" si="19"/>
        <v>12.81371103768636</v>
      </c>
    </row>
    <row r="78" spans="1:13">
      <c r="F78" s="127">
        <f>SUM(F6:F76)</f>
        <v>26833</v>
      </c>
      <c r="G78" s="127">
        <f>SUM(G6:G76)</f>
        <v>11.424578496247793</v>
      </c>
      <c r="H78" s="127">
        <f>SUM(H6:H76)</f>
        <v>4129.681469060718</v>
      </c>
      <c r="I78" s="127">
        <f>SUM(I6:I76)</f>
        <v>0.99999999999999989</v>
      </c>
      <c r="J78" s="127">
        <v>43208065.995975852</v>
      </c>
      <c r="K78" s="127">
        <f>SUM(K6:K76)</f>
        <v>43208.065995975834</v>
      </c>
      <c r="L78" s="127">
        <f>SUM(L6:L76)</f>
        <v>2160.403299798792</v>
      </c>
      <c r="M78" s="128">
        <f>SUM(M6:M76)</f>
        <v>4320.806599597584</v>
      </c>
    </row>
  </sheetData>
  <sheetProtection sheet="1" objects="1" scenarios="1"/>
  <sortState xmlns:xlrd2="http://schemas.microsoft.com/office/spreadsheetml/2017/richdata2" ref="A6:AI76">
    <sortCondition ref="A6:A76"/>
  </sortState>
  <mergeCells count="10">
    <mergeCell ref="D4:E4"/>
    <mergeCell ref="F4:M4"/>
    <mergeCell ref="A4:C4"/>
    <mergeCell ref="AB4:AC4"/>
    <mergeCell ref="AD4:AF4"/>
    <mergeCell ref="AH4:AH5"/>
    <mergeCell ref="AG4:AG5"/>
    <mergeCell ref="V3:AH3"/>
    <mergeCell ref="V4:V5"/>
    <mergeCell ref="X4:Y4"/>
  </mergeCells>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8BF0B-7C02-41AB-B25E-B071ACEF0B32}">
  <sheetPr codeName="Feuil9"/>
  <dimension ref="A1:AF76"/>
  <sheetViews>
    <sheetView topLeftCell="D1" zoomScale="70" zoomScaleNormal="70" workbookViewId="0">
      <selection activeCell="J5" sqref="J5:J75"/>
    </sheetView>
  </sheetViews>
  <sheetFormatPr baseColWidth="10" defaultRowHeight="15.75"/>
  <cols>
    <col min="2" max="2" width="15.375" customWidth="1"/>
    <col min="3" max="3" width="13.25" customWidth="1"/>
    <col min="4" max="4" width="17" customWidth="1"/>
    <col min="7" max="7" width="11.5" customWidth="1"/>
    <col min="8" max="8" width="14.5" customWidth="1"/>
    <col min="9" max="9" width="12.25" customWidth="1"/>
    <col min="10" max="10" width="11.25" customWidth="1"/>
  </cols>
  <sheetData>
    <row r="1" spans="1:32">
      <c r="D1" s="85" t="s">
        <v>654</v>
      </c>
    </row>
    <row r="3" spans="1:32" ht="15.75" customHeight="1">
      <c r="A3" s="134" t="s">
        <v>647</v>
      </c>
      <c r="B3" s="134"/>
      <c r="C3" s="134"/>
      <c r="D3" s="134" t="s">
        <v>153</v>
      </c>
      <c r="E3" s="134"/>
      <c r="F3" s="135" t="s">
        <v>660</v>
      </c>
      <c r="G3" s="136"/>
      <c r="H3" s="136"/>
      <c r="I3" s="136"/>
      <c r="J3" s="137"/>
      <c r="M3" s="134" t="s">
        <v>289</v>
      </c>
      <c r="N3" s="134"/>
      <c r="O3" s="134"/>
      <c r="P3" s="134"/>
      <c r="Q3" s="134"/>
      <c r="R3" s="134"/>
      <c r="S3" s="134"/>
      <c r="T3" s="134"/>
      <c r="U3" s="134"/>
      <c r="V3" s="134"/>
      <c r="W3" s="134"/>
      <c r="X3" s="134"/>
      <c r="Z3" s="132" t="s">
        <v>279</v>
      </c>
      <c r="AA3" s="133"/>
      <c r="AB3" s="133"/>
      <c r="AC3" s="133"/>
      <c r="AD3" s="133"/>
      <c r="AE3" s="133"/>
      <c r="AF3" s="133"/>
    </row>
    <row r="4" spans="1:32" s="102" customFormat="1" ht="30">
      <c r="A4" s="102" t="s">
        <v>152</v>
      </c>
      <c r="B4" s="102" t="s">
        <v>144</v>
      </c>
      <c r="C4" s="102" t="s">
        <v>145</v>
      </c>
      <c r="D4" s="102" t="s">
        <v>0</v>
      </c>
      <c r="E4" s="102" t="s">
        <v>1</v>
      </c>
      <c r="F4" s="102" t="s">
        <v>298</v>
      </c>
      <c r="G4" s="102" t="s">
        <v>297</v>
      </c>
      <c r="H4" s="102" t="s">
        <v>296</v>
      </c>
      <c r="I4" s="102" t="s">
        <v>295</v>
      </c>
      <c r="J4" s="102" t="s">
        <v>294</v>
      </c>
      <c r="M4" s="12" t="s">
        <v>278</v>
      </c>
      <c r="N4" s="12" t="s">
        <v>277</v>
      </c>
      <c r="O4" s="12" t="s">
        <v>276</v>
      </c>
      <c r="P4" s="12" t="s">
        <v>275</v>
      </c>
      <c r="Q4" s="12" t="s">
        <v>274</v>
      </c>
      <c r="R4" s="12" t="s">
        <v>273</v>
      </c>
      <c r="S4" s="12" t="s">
        <v>270</v>
      </c>
      <c r="T4" s="12" t="s">
        <v>287</v>
      </c>
      <c r="U4" s="12" t="s">
        <v>286</v>
      </c>
      <c r="V4" s="12" t="s">
        <v>285</v>
      </c>
      <c r="W4" s="12" t="s">
        <v>284</v>
      </c>
      <c r="X4" s="12" t="s">
        <v>283</v>
      </c>
      <c r="Z4" s="12" t="s">
        <v>278</v>
      </c>
      <c r="AA4" s="12" t="s">
        <v>277</v>
      </c>
      <c r="AB4" s="12" t="s">
        <v>276</v>
      </c>
      <c r="AC4" s="12" t="s">
        <v>275</v>
      </c>
      <c r="AD4" s="12" t="s">
        <v>274</v>
      </c>
      <c r="AE4" s="12" t="s">
        <v>273</v>
      </c>
      <c r="AF4" s="12" t="s">
        <v>270</v>
      </c>
    </row>
    <row r="5" spans="1:32">
      <c r="A5">
        <v>22</v>
      </c>
      <c r="B5">
        <v>1</v>
      </c>
      <c r="C5">
        <v>14</v>
      </c>
      <c r="D5" t="s">
        <v>44</v>
      </c>
      <c r="E5" t="s">
        <v>45</v>
      </c>
      <c r="F5">
        <f>'A-Demande-Ind-lait'!O$7/3</f>
        <v>51007518.796992481</v>
      </c>
      <c r="G5">
        <f>'A-Demande-Ind-lait'!P$7/3</f>
        <v>15037593.984962406</v>
      </c>
      <c r="H5">
        <f>'A-Demande-Ind-lait'!Q$7/3</f>
        <v>27736006.683375102</v>
      </c>
      <c r="I5">
        <f>'A-Demande-Ind-lait'!R$7/3</f>
        <v>19649122.807017542</v>
      </c>
      <c r="J5">
        <f>'A-Demande-Ind-lait'!S$7/3</f>
        <v>113430.24227234752</v>
      </c>
      <c r="M5" s="11" t="s">
        <v>181</v>
      </c>
      <c r="N5" s="10">
        <v>353864.66165413533</v>
      </c>
      <c r="O5" s="10">
        <v>104323.30827067669</v>
      </c>
      <c r="P5" s="10">
        <v>192418.54636591475</v>
      </c>
      <c r="Q5" s="10">
        <v>136315.78947368418</v>
      </c>
      <c r="R5" s="10">
        <v>786922.30576441099</v>
      </c>
      <c r="S5" s="10">
        <v>27.819548872180448</v>
      </c>
      <c r="T5" s="10">
        <v>39346.11528822055</v>
      </c>
      <c r="U5" s="10">
        <v>47215.338345864657</v>
      </c>
      <c r="V5" s="10">
        <v>55084.561403508778</v>
      </c>
      <c r="W5" s="10">
        <v>62953.784461152878</v>
      </c>
      <c r="X5" s="10">
        <v>78692.230576441099</v>
      </c>
      <c r="Z5" s="11" t="s">
        <v>181</v>
      </c>
      <c r="AA5" s="10">
        <v>353864.66165413533</v>
      </c>
      <c r="AB5" s="10">
        <v>104323.30827067669</v>
      </c>
      <c r="AC5" s="10">
        <v>192418.54636591475</v>
      </c>
      <c r="AD5" s="10">
        <v>136315.78947368418</v>
      </c>
      <c r="AE5" s="10">
        <v>786922.30576441099</v>
      </c>
      <c r="AF5" s="10">
        <v>27.819548872180448</v>
      </c>
    </row>
    <row r="6" spans="1:32">
      <c r="A6">
        <v>36</v>
      </c>
      <c r="B6">
        <v>1</v>
      </c>
      <c r="C6">
        <v>14</v>
      </c>
      <c r="D6" t="s">
        <v>72</v>
      </c>
      <c r="E6" t="s">
        <v>73</v>
      </c>
      <c r="F6">
        <f>'A-Demande-Ind-lait'!O$7/3</f>
        <v>51007518.796992481</v>
      </c>
      <c r="G6">
        <f>'A-Demande-Ind-lait'!P$7/3</f>
        <v>15037593.984962406</v>
      </c>
      <c r="H6">
        <f>'A-Demande-Ind-lait'!Q$7/3</f>
        <v>27736006.683375102</v>
      </c>
      <c r="I6">
        <f>'A-Demande-Ind-lait'!R$7/3</f>
        <v>19649122.807017542</v>
      </c>
      <c r="J6">
        <f>'A-Demande-Ind-lait'!S$7/3</f>
        <v>113430.24227234752</v>
      </c>
      <c r="M6" s="11" t="s">
        <v>205</v>
      </c>
      <c r="N6" s="10">
        <v>66947.368421052641</v>
      </c>
      <c r="O6" s="10">
        <v>19736.842105263157</v>
      </c>
      <c r="P6" s="10">
        <v>36403.508771929824</v>
      </c>
      <c r="Q6" s="10">
        <v>25789.473684210523</v>
      </c>
      <c r="R6" s="10">
        <v>148877.19298245615</v>
      </c>
      <c r="S6" s="10">
        <v>5.2631578947368425</v>
      </c>
      <c r="T6" s="10">
        <v>7443.8596491228082</v>
      </c>
      <c r="U6" s="10">
        <v>8932.6315789473683</v>
      </c>
      <c r="V6" s="10">
        <v>10421.403508771931</v>
      </c>
      <c r="W6" s="10">
        <v>11910.175438596492</v>
      </c>
      <c r="X6" s="10">
        <v>14887.719298245616</v>
      </c>
      <c r="Z6" s="11" t="s">
        <v>205</v>
      </c>
      <c r="AA6" s="10">
        <v>66947.368421052641</v>
      </c>
      <c r="AB6" s="10">
        <v>19736.842105263157</v>
      </c>
      <c r="AC6" s="10">
        <v>36403.508771929824</v>
      </c>
      <c r="AD6" s="10">
        <v>25789.473684210523</v>
      </c>
      <c r="AE6" s="10">
        <v>148877.19298245615</v>
      </c>
      <c r="AF6" s="10">
        <v>5.2631578947368425</v>
      </c>
    </row>
    <row r="7" spans="1:32">
      <c r="A7">
        <v>58</v>
      </c>
      <c r="B7">
        <v>1</v>
      </c>
      <c r="C7">
        <v>14</v>
      </c>
      <c r="D7" t="s">
        <v>116</v>
      </c>
      <c r="E7" t="s">
        <v>117</v>
      </c>
      <c r="F7">
        <f>'A-Demande-Ind-lait'!O$7/3</f>
        <v>51007518.796992481</v>
      </c>
      <c r="G7">
        <f>'A-Demande-Ind-lait'!P$7/3</f>
        <v>15037593.984962406</v>
      </c>
      <c r="H7">
        <f>'A-Demande-Ind-lait'!Q$7/3</f>
        <v>27736006.683375102</v>
      </c>
      <c r="I7">
        <f>'A-Demande-Ind-lait'!R$7/3</f>
        <v>19649122.807017542</v>
      </c>
      <c r="J7">
        <f>'A-Demande-Ind-lait'!S$7/3</f>
        <v>113430.24227234752</v>
      </c>
      <c r="M7" s="11" t="s">
        <v>200</v>
      </c>
      <c r="N7" s="10">
        <v>411248.12030075188</v>
      </c>
      <c r="O7" s="10">
        <v>121240.6015037594</v>
      </c>
      <c r="P7" s="10">
        <v>223621.55388471176</v>
      </c>
      <c r="Q7" s="10">
        <v>158421.05263157893</v>
      </c>
      <c r="R7" s="10">
        <v>914531.32832080196</v>
      </c>
      <c r="S7" s="10">
        <v>32.330827067669169</v>
      </c>
      <c r="T7" s="10">
        <v>45726.566416040099</v>
      </c>
      <c r="U7" s="10">
        <v>54871.879699248115</v>
      </c>
      <c r="V7" s="10">
        <v>64017.192982456145</v>
      </c>
      <c r="W7" s="10">
        <v>73162.506265664153</v>
      </c>
      <c r="X7" s="10">
        <v>91453.132832080199</v>
      </c>
      <c r="Z7" s="11" t="s">
        <v>200</v>
      </c>
      <c r="AA7" s="10">
        <v>411248.12030075188</v>
      </c>
      <c r="AB7" s="10">
        <v>121240.6015037594</v>
      </c>
      <c r="AC7" s="10">
        <v>223621.55388471176</v>
      </c>
      <c r="AD7" s="10">
        <v>158421.05263157893</v>
      </c>
      <c r="AE7" s="10">
        <v>914531.32832080196</v>
      </c>
      <c r="AF7" s="10">
        <v>32.330827067669169</v>
      </c>
    </row>
    <row r="8" spans="1:32">
      <c r="A8">
        <v>12</v>
      </c>
      <c r="B8">
        <v>2</v>
      </c>
      <c r="C8">
        <v>14</v>
      </c>
      <c r="D8" t="s">
        <v>24</v>
      </c>
      <c r="E8" t="s">
        <v>25</v>
      </c>
      <c r="F8">
        <f>'A-Demande-Ind-lait'!O$8/6</f>
        <v>3984962.4060150371</v>
      </c>
      <c r="G8">
        <f>'A-Demande-Ind-lait'!P$8/6</f>
        <v>1174812.030075188</v>
      </c>
      <c r="H8">
        <f>'A-Demande-Ind-lait'!Q$8/6</f>
        <v>2166875.5221386799</v>
      </c>
      <c r="I8">
        <f>'A-Demande-Ind-lait'!R$8/6</f>
        <v>1535087.7192982454</v>
      </c>
      <c r="J8">
        <f>'A-Demande-Ind-lait'!S$8/6</f>
        <v>8861.7376775271496</v>
      </c>
      <c r="M8" s="11" t="s">
        <v>272</v>
      </c>
      <c r="N8" s="10">
        <v>248661.65413533832</v>
      </c>
      <c r="O8" s="10">
        <v>73308.27067669174</v>
      </c>
      <c r="P8" s="10">
        <v>135213.03258145362</v>
      </c>
      <c r="Q8" s="10">
        <v>95789.473684210505</v>
      </c>
      <c r="R8" s="10">
        <v>552972.43107769417</v>
      </c>
      <c r="S8" s="10">
        <v>19.548872180451127</v>
      </c>
      <c r="T8" s="10">
        <v>27648.62155388471</v>
      </c>
      <c r="U8" s="10">
        <v>33178.345864661649</v>
      </c>
      <c r="V8" s="10">
        <v>38708.070175438595</v>
      </c>
      <c r="W8" s="10">
        <v>44237.794486215535</v>
      </c>
      <c r="X8" s="10">
        <v>55297.24310776942</v>
      </c>
      <c r="Z8" s="11" t="s">
        <v>272</v>
      </c>
      <c r="AA8" s="10">
        <v>248661.65413533832</v>
      </c>
      <c r="AB8" s="10">
        <v>73308.27067669174</v>
      </c>
      <c r="AC8" s="10">
        <v>135213.03258145362</v>
      </c>
      <c r="AD8" s="10">
        <v>95789.473684210505</v>
      </c>
      <c r="AE8" s="10">
        <v>552972.43107769417</v>
      </c>
      <c r="AF8" s="10">
        <v>19.548872180451127</v>
      </c>
    </row>
    <row r="9" spans="1:32">
      <c r="A9">
        <v>13</v>
      </c>
      <c r="B9">
        <v>2</v>
      </c>
      <c r="C9">
        <v>14</v>
      </c>
      <c r="D9" t="s">
        <v>26</v>
      </c>
      <c r="E9" t="s">
        <v>27</v>
      </c>
      <c r="F9">
        <f>'A-Demande-Ind-lait'!O$8/6</f>
        <v>3984962.4060150371</v>
      </c>
      <c r="G9">
        <f>'A-Demande-Ind-lait'!P$8/6</f>
        <v>1174812.030075188</v>
      </c>
      <c r="H9">
        <f>'A-Demande-Ind-lait'!Q$8/6</f>
        <v>2166875.5221386799</v>
      </c>
      <c r="I9">
        <f>'A-Demande-Ind-lait'!R$8/6</f>
        <v>1535087.7192982454</v>
      </c>
      <c r="J9">
        <f>'A-Demande-Ind-lait'!S$8/6</f>
        <v>8861.7376775271496</v>
      </c>
      <c r="M9" s="11" t="s">
        <v>271</v>
      </c>
      <c r="N9" s="10">
        <v>191278.1954887218</v>
      </c>
      <c r="O9" s="10">
        <v>56390.977443609023</v>
      </c>
      <c r="P9" s="10">
        <v>104010.02506265663</v>
      </c>
      <c r="Q9" s="10">
        <v>73684.210526315772</v>
      </c>
      <c r="R9" s="10">
        <v>425363.40852130321</v>
      </c>
      <c r="S9" s="10">
        <v>15.037593984962406</v>
      </c>
      <c r="T9" s="10">
        <v>21268.17042606516</v>
      </c>
      <c r="U9" s="10">
        <v>25521.804511278191</v>
      </c>
      <c r="V9" s="10">
        <v>29775.438596491229</v>
      </c>
      <c r="W9" s="10">
        <v>34029.07268170426</v>
      </c>
      <c r="X9" s="10">
        <v>42536.340852130321</v>
      </c>
      <c r="Z9" s="11" t="s">
        <v>271</v>
      </c>
      <c r="AA9" s="10">
        <v>191278.1954887218</v>
      </c>
      <c r="AB9" s="10">
        <v>56390.977443609023</v>
      </c>
      <c r="AC9" s="10">
        <v>104010.02506265663</v>
      </c>
      <c r="AD9" s="10">
        <v>73684.210526315772</v>
      </c>
      <c r="AE9" s="10">
        <v>425363.40852130321</v>
      </c>
      <c r="AF9" s="10">
        <v>15.037593984962406</v>
      </c>
    </row>
    <row r="10" spans="1:32">
      <c r="A10">
        <v>20</v>
      </c>
      <c r="B10">
        <v>2</v>
      </c>
      <c r="C10">
        <v>14</v>
      </c>
      <c r="D10" t="s">
        <v>40</v>
      </c>
      <c r="E10" t="s">
        <v>41</v>
      </c>
      <c r="F10">
        <f>'A-Demande-Ind-lait'!O$8/6</f>
        <v>3984962.4060150371</v>
      </c>
      <c r="G10">
        <f>'A-Demande-Ind-lait'!P$8/6</f>
        <v>1174812.030075188</v>
      </c>
      <c r="H10">
        <f>'A-Demande-Ind-lait'!Q$8/6</f>
        <v>2166875.5221386799</v>
      </c>
      <c r="I10">
        <f>'A-Demande-Ind-lait'!R$8/6</f>
        <v>1535087.7192982454</v>
      </c>
      <c r="J10">
        <f>'A-Demande-Ind-lait'!S$8/6</f>
        <v>8861.7376775271496</v>
      </c>
      <c r="M10" s="9" t="s">
        <v>230</v>
      </c>
      <c r="N10" s="8">
        <v>1272000</v>
      </c>
      <c r="O10" s="8">
        <v>375000</v>
      </c>
      <c r="P10" s="8">
        <v>691666.66666666663</v>
      </c>
      <c r="Q10" s="8">
        <v>489999.99999999994</v>
      </c>
      <c r="R10" s="8">
        <v>2828666.6666666665</v>
      </c>
      <c r="S10" s="33">
        <v>100</v>
      </c>
      <c r="T10" s="8">
        <v>141433.33333333331</v>
      </c>
      <c r="U10" s="8">
        <v>169719.99999999997</v>
      </c>
      <c r="V10" s="8">
        <v>198006.66666666669</v>
      </c>
      <c r="W10" s="8">
        <v>226293.33333333331</v>
      </c>
      <c r="X10" s="8">
        <v>282866.66666666663</v>
      </c>
      <c r="Z10" s="9" t="s">
        <v>230</v>
      </c>
      <c r="AA10" s="8">
        <v>1272000</v>
      </c>
      <c r="AB10" s="8">
        <v>375000</v>
      </c>
      <c r="AC10" s="8">
        <v>691666.66666666663</v>
      </c>
      <c r="AD10" s="8">
        <v>489999.99999999994</v>
      </c>
      <c r="AE10" s="8">
        <v>2828666.6666666665</v>
      </c>
      <c r="AF10" s="8">
        <v>100</v>
      </c>
    </row>
    <row r="11" spans="1:32">
      <c r="A11">
        <v>21</v>
      </c>
      <c r="B11">
        <v>2</v>
      </c>
      <c r="C11">
        <v>14</v>
      </c>
      <c r="D11" t="s">
        <v>42</v>
      </c>
      <c r="E11" t="s">
        <v>43</v>
      </c>
      <c r="F11">
        <f>'A-Demande-Ind-lait'!O$8/6</f>
        <v>3984962.4060150371</v>
      </c>
      <c r="G11">
        <f>'A-Demande-Ind-lait'!P$8/6</f>
        <v>1174812.030075188</v>
      </c>
      <c r="H11">
        <f>'A-Demande-Ind-lait'!Q$8/6</f>
        <v>2166875.5221386799</v>
      </c>
      <c r="I11">
        <f>'A-Demande-Ind-lait'!R$8/6</f>
        <v>1535087.7192982454</v>
      </c>
      <c r="J11">
        <f>'A-Demande-Ind-lait'!S$8/6</f>
        <v>8861.7376775271496</v>
      </c>
      <c r="M11" s="11" t="s">
        <v>270</v>
      </c>
      <c r="N11" s="10">
        <v>44.968182889465005</v>
      </c>
      <c r="O11" s="10">
        <v>13.257129389582841</v>
      </c>
      <c r="P11" s="10">
        <v>24.452038651897244</v>
      </c>
      <c r="Q11" s="10">
        <v>17.322649069054911</v>
      </c>
      <c r="R11" s="30"/>
      <c r="S11" s="33"/>
      <c r="T11" s="4"/>
      <c r="U11" s="4"/>
      <c r="V11" s="4"/>
      <c r="W11" s="4"/>
      <c r="X11" s="4"/>
      <c r="Z11" s="11" t="s">
        <v>270</v>
      </c>
      <c r="AA11" s="10">
        <v>44.968182889465005</v>
      </c>
      <c r="AB11" s="10">
        <v>13.257129389582841</v>
      </c>
      <c r="AC11" s="10">
        <v>24.452038651897244</v>
      </c>
      <c r="AD11" s="10">
        <v>17.322649069054911</v>
      </c>
      <c r="AE11" s="10">
        <v>100</v>
      </c>
      <c r="AF11" s="30"/>
    </row>
    <row r="12" spans="1:32">
      <c r="A12">
        <v>57</v>
      </c>
      <c r="B12">
        <v>2</v>
      </c>
      <c r="C12">
        <v>14</v>
      </c>
      <c r="D12" t="s">
        <v>114</v>
      </c>
      <c r="E12" t="s">
        <v>115</v>
      </c>
      <c r="F12">
        <f>'A-Demande-Ind-lait'!O$8/6</f>
        <v>3984962.4060150371</v>
      </c>
      <c r="G12">
        <f>'A-Demande-Ind-lait'!P$8/6</f>
        <v>1174812.030075188</v>
      </c>
      <c r="H12">
        <f>'A-Demande-Ind-lait'!Q$8/6</f>
        <v>2166875.5221386799</v>
      </c>
      <c r="I12">
        <f>'A-Demande-Ind-lait'!R$8/6</f>
        <v>1535087.7192982454</v>
      </c>
      <c r="J12">
        <f>'A-Demande-Ind-lait'!S$8/6</f>
        <v>8861.7376775271496</v>
      </c>
      <c r="M12" s="141" t="s">
        <v>269</v>
      </c>
      <c r="N12" s="141"/>
      <c r="O12" s="141"/>
      <c r="P12" s="141"/>
      <c r="Q12" s="141"/>
      <c r="R12" s="141"/>
      <c r="S12" s="141"/>
      <c r="Z12" s="141" t="s">
        <v>269</v>
      </c>
      <c r="AA12" s="141"/>
      <c r="AB12" s="141"/>
      <c r="AC12" s="141"/>
      <c r="AD12" s="141"/>
      <c r="AE12" s="141"/>
      <c r="AF12" s="141"/>
    </row>
    <row r="13" spans="1:32">
      <c r="A13">
        <v>59</v>
      </c>
      <c r="B13">
        <v>2</v>
      </c>
      <c r="C13">
        <v>14</v>
      </c>
      <c r="D13" t="s">
        <v>118</v>
      </c>
      <c r="E13" t="s">
        <v>119</v>
      </c>
      <c r="F13">
        <f>'A-Demande-Ind-lait'!O$8/6</f>
        <v>3984962.4060150371</v>
      </c>
      <c r="G13">
        <f>'A-Demande-Ind-lait'!P$8/6</f>
        <v>1174812.030075188</v>
      </c>
      <c r="H13">
        <f>'A-Demande-Ind-lait'!Q$8/6</f>
        <v>2166875.5221386799</v>
      </c>
      <c r="I13">
        <f>'A-Demande-Ind-lait'!R$8/6</f>
        <v>1535087.7192982454</v>
      </c>
      <c r="J13">
        <f>'A-Demande-Ind-lait'!S$8/6</f>
        <v>8861.7376775271496</v>
      </c>
    </row>
    <row r="14" spans="1:32">
      <c r="A14">
        <v>11</v>
      </c>
      <c r="B14">
        <v>3</v>
      </c>
      <c r="C14">
        <v>14</v>
      </c>
      <c r="D14" t="s">
        <v>22</v>
      </c>
      <c r="E14" t="s">
        <v>23</v>
      </c>
      <c r="F14">
        <f>'A-Demande-Ind-lait'!O$9/5</f>
        <v>30604511.278195489</v>
      </c>
      <c r="G14">
        <f>'A-Demande-Ind-lait'!P$9/5</f>
        <v>9022556.3909774441</v>
      </c>
      <c r="H14">
        <f>'A-Demande-Ind-lait'!Q$9/5</f>
        <v>16641604.01002506</v>
      </c>
      <c r="I14">
        <f>'A-Demande-Ind-lait'!R$9/5</f>
        <v>11789473.684210526</v>
      </c>
      <c r="J14">
        <f>'A-Demande-Ind-lait'!S$9/5</f>
        <v>68058.145363408519</v>
      </c>
    </row>
    <row r="15" spans="1:32">
      <c r="A15">
        <v>23</v>
      </c>
      <c r="B15">
        <v>3</v>
      </c>
      <c r="C15">
        <v>14</v>
      </c>
      <c r="D15" t="s">
        <v>46</v>
      </c>
      <c r="E15" t="s">
        <v>47</v>
      </c>
      <c r="F15">
        <f>'A-Demande-Ind-lait'!O$9/5</f>
        <v>30604511.278195489</v>
      </c>
      <c r="G15">
        <f>'A-Demande-Ind-lait'!P$9/5</f>
        <v>9022556.3909774441</v>
      </c>
      <c r="H15">
        <f>'A-Demande-Ind-lait'!Q$9/5</f>
        <v>16641604.01002506</v>
      </c>
      <c r="I15">
        <f>'A-Demande-Ind-lait'!R$9/5</f>
        <v>11789473.684210526</v>
      </c>
      <c r="J15">
        <f>'A-Demande-Ind-lait'!S$9/5</f>
        <v>68058.145363408519</v>
      </c>
    </row>
    <row r="16" spans="1:32">
      <c r="A16">
        <v>38</v>
      </c>
      <c r="B16">
        <v>3</v>
      </c>
      <c r="C16">
        <v>14</v>
      </c>
      <c r="D16" t="s">
        <v>76</v>
      </c>
      <c r="E16" t="s">
        <v>77</v>
      </c>
      <c r="F16">
        <f>'A-Demande-Ind-lait'!O$9/5</f>
        <v>30604511.278195489</v>
      </c>
      <c r="G16">
        <f>'A-Demande-Ind-lait'!P$9/5</f>
        <v>9022556.3909774441</v>
      </c>
      <c r="H16">
        <f>'A-Demande-Ind-lait'!Q$9/5</f>
        <v>16641604.01002506</v>
      </c>
      <c r="I16">
        <f>'A-Demande-Ind-lait'!R$9/5</f>
        <v>11789473.684210526</v>
      </c>
      <c r="J16">
        <f>'A-Demande-Ind-lait'!S$9/5</f>
        <v>68058.145363408519</v>
      </c>
      <c r="L16" s="5"/>
    </row>
    <row r="17" spans="1:12">
      <c r="A17">
        <v>56</v>
      </c>
      <c r="B17">
        <v>3</v>
      </c>
      <c r="C17">
        <v>14</v>
      </c>
      <c r="D17" t="s">
        <v>112</v>
      </c>
      <c r="E17" t="s">
        <v>113</v>
      </c>
      <c r="F17">
        <f>'A-Demande-Ind-lait'!O$9/5</f>
        <v>30604511.278195489</v>
      </c>
      <c r="G17">
        <f>'A-Demande-Ind-lait'!P$9/5</f>
        <v>9022556.3909774441</v>
      </c>
      <c r="H17">
        <f>'A-Demande-Ind-lait'!Q$9/5</f>
        <v>16641604.01002506</v>
      </c>
      <c r="I17">
        <f>'A-Demande-Ind-lait'!R$9/5</f>
        <v>11789473.684210526</v>
      </c>
      <c r="J17">
        <f>'A-Demande-Ind-lait'!S$9/5</f>
        <v>68058.145363408519</v>
      </c>
      <c r="L17" s="90"/>
    </row>
    <row r="18" spans="1:12">
      <c r="A18">
        <v>60</v>
      </c>
      <c r="B18">
        <v>3</v>
      </c>
      <c r="C18">
        <v>14</v>
      </c>
      <c r="D18" t="s">
        <v>120</v>
      </c>
      <c r="E18" t="s">
        <v>121</v>
      </c>
      <c r="F18">
        <f>'A-Demande-Ind-lait'!O$9/5</f>
        <v>30604511.278195489</v>
      </c>
      <c r="G18">
        <f>'A-Demande-Ind-lait'!P$9/5</f>
        <v>9022556.3909774441</v>
      </c>
      <c r="H18">
        <f>'A-Demande-Ind-lait'!Q$9/5</f>
        <v>16641604.01002506</v>
      </c>
      <c r="I18">
        <f>'A-Demande-Ind-lait'!R$9/5</f>
        <v>11789473.684210526</v>
      </c>
      <c r="J18">
        <f>'A-Demande-Ind-lait'!S$9/5</f>
        <v>68058.145363408519</v>
      </c>
    </row>
    <row r="19" spans="1:12">
      <c r="A19">
        <v>32</v>
      </c>
      <c r="B19">
        <v>4</v>
      </c>
      <c r="C19">
        <v>14</v>
      </c>
      <c r="D19" t="s">
        <v>64</v>
      </c>
      <c r="E19" t="s">
        <v>65</v>
      </c>
      <c r="F19">
        <f>'A-Demande-Ind-lait'!O$10/2</f>
        <v>11954887.218045112</v>
      </c>
      <c r="G19">
        <f>'A-Demande-Ind-lait'!P$10/2</f>
        <v>3524436.0902255639</v>
      </c>
      <c r="H19">
        <f>'A-Demande-Ind-lait'!Q$10/2</f>
        <v>6500626.5664160391</v>
      </c>
      <c r="I19">
        <f>'A-Demande-Ind-lait'!R$10/2</f>
        <v>4605263.1578947362</v>
      </c>
      <c r="J19">
        <f>'A-Demande-Ind-lait'!S$10/2</f>
        <v>26585.213032581447</v>
      </c>
    </row>
    <row r="20" spans="1:12">
      <c r="A20">
        <v>37</v>
      </c>
      <c r="B20">
        <v>4</v>
      </c>
      <c r="C20">
        <v>14</v>
      </c>
      <c r="D20" t="s">
        <v>74</v>
      </c>
      <c r="E20" t="s">
        <v>75</v>
      </c>
      <c r="F20">
        <f>'A-Demande-Ind-lait'!O$10/2</f>
        <v>11954887.218045112</v>
      </c>
      <c r="G20">
        <f>'A-Demande-Ind-lait'!P$10/2</f>
        <v>3524436.0902255639</v>
      </c>
      <c r="H20">
        <f>'A-Demande-Ind-lait'!Q$10/2</f>
        <v>6500626.5664160391</v>
      </c>
      <c r="I20">
        <f>'A-Demande-Ind-lait'!R$10/2</f>
        <v>4605263.1578947362</v>
      </c>
      <c r="J20">
        <f>'A-Demande-Ind-lait'!S$10/2</f>
        <v>26585.213032581447</v>
      </c>
    </row>
    <row r="21" spans="1:12">
      <c r="A21">
        <v>45</v>
      </c>
      <c r="B21">
        <v>1</v>
      </c>
      <c r="C21">
        <v>27</v>
      </c>
      <c r="D21" t="s">
        <v>90</v>
      </c>
      <c r="E21" t="s">
        <v>91</v>
      </c>
      <c r="F21">
        <f>'A-Demande-Ind-lait'!O$11/4</f>
        <v>14345864.661654135</v>
      </c>
      <c r="G21">
        <f>'A-Demande-Ind-lait'!P$11/4</f>
        <v>4229323.3082706761</v>
      </c>
      <c r="H21">
        <f>'A-Demande-Ind-lait'!Q$11/4</f>
        <v>7800751.879699247</v>
      </c>
      <c r="I21">
        <f>'A-Demande-Ind-lait'!R$11/4</f>
        <v>5526315.7894736836</v>
      </c>
      <c r="J21">
        <f>'A-Demande-Ind-lait'!S$11/4</f>
        <v>31902.255639097744</v>
      </c>
    </row>
    <row r="22" spans="1:12">
      <c r="A22">
        <v>51</v>
      </c>
      <c r="B22">
        <v>1</v>
      </c>
      <c r="C22">
        <v>27</v>
      </c>
      <c r="D22" t="s">
        <v>102</v>
      </c>
      <c r="E22" t="s">
        <v>103</v>
      </c>
      <c r="F22">
        <f>'A-Demande-Ind-lait'!O$11/4</f>
        <v>14345864.661654135</v>
      </c>
      <c r="G22">
        <f>'A-Demande-Ind-lait'!P$11/4</f>
        <v>4229323.3082706761</v>
      </c>
      <c r="H22">
        <f>'A-Demande-Ind-lait'!Q$11/4</f>
        <v>7800751.879699247</v>
      </c>
      <c r="I22">
        <f>'A-Demande-Ind-lait'!R$11/4</f>
        <v>5526315.7894736836</v>
      </c>
      <c r="J22">
        <f>'A-Demande-Ind-lait'!S$11/4</f>
        <v>31902.255639097744</v>
      </c>
    </row>
    <row r="23" spans="1:12">
      <c r="A23">
        <v>52</v>
      </c>
      <c r="B23">
        <v>1</v>
      </c>
      <c r="C23">
        <v>27</v>
      </c>
      <c r="D23" t="s">
        <v>104</v>
      </c>
      <c r="E23" t="s">
        <v>105</v>
      </c>
      <c r="F23">
        <f>'A-Demande-Ind-lait'!O$11/4</f>
        <v>14345864.661654135</v>
      </c>
      <c r="G23">
        <f>'A-Demande-Ind-lait'!P$11/4</f>
        <v>4229323.3082706761</v>
      </c>
      <c r="H23">
        <f>'A-Demande-Ind-lait'!Q$11/4</f>
        <v>7800751.879699247</v>
      </c>
      <c r="I23">
        <f>'A-Demande-Ind-lait'!R$11/4</f>
        <v>5526315.7894736836</v>
      </c>
      <c r="J23">
        <f>'A-Demande-Ind-lait'!S$11/4</f>
        <v>31902.255639097744</v>
      </c>
    </row>
    <row r="24" spans="1:12">
      <c r="A24">
        <v>55</v>
      </c>
      <c r="B24">
        <v>1</v>
      </c>
      <c r="C24">
        <v>27</v>
      </c>
      <c r="D24" t="s">
        <v>110</v>
      </c>
      <c r="E24" t="s">
        <v>111</v>
      </c>
      <c r="F24">
        <f>'A-Demande-Ind-lait'!O$11/4</f>
        <v>14345864.661654135</v>
      </c>
      <c r="G24">
        <f>'A-Demande-Ind-lait'!P$11/4</f>
        <v>4229323.3082706761</v>
      </c>
      <c r="H24">
        <f>'A-Demande-Ind-lait'!Q$11/4</f>
        <v>7800751.879699247</v>
      </c>
      <c r="I24">
        <f>'A-Demande-Ind-lait'!R$11/4</f>
        <v>5526315.7894736836</v>
      </c>
      <c r="J24">
        <f>'A-Demande-Ind-lait'!S$11/4</f>
        <v>31902.255639097744</v>
      </c>
    </row>
    <row r="25" spans="1:12">
      <c r="A25">
        <v>14</v>
      </c>
      <c r="B25">
        <v>2</v>
      </c>
      <c r="C25">
        <v>27</v>
      </c>
      <c r="D25" t="s">
        <v>28</v>
      </c>
      <c r="E25" t="s">
        <v>29</v>
      </c>
      <c r="F25">
        <f>'A-Demande-Ind-lait'!O$12/6</f>
        <v>956390.97744360904</v>
      </c>
      <c r="G25">
        <f>'A-Demande-Ind-lait'!P$12/6</f>
        <v>281954.88721804513</v>
      </c>
      <c r="H25">
        <f>'A-Demande-Ind-lait'!Q$12/6</f>
        <v>520050.12531328318</v>
      </c>
      <c r="I25">
        <f>'A-Demande-Ind-lait'!R$12/6</f>
        <v>368421.05263157893</v>
      </c>
      <c r="J25">
        <f>'A-Demande-Ind-lait'!S$12/6</f>
        <v>2126.8170426065167</v>
      </c>
    </row>
    <row r="26" spans="1:12">
      <c r="A26">
        <v>15</v>
      </c>
      <c r="B26">
        <v>2</v>
      </c>
      <c r="C26">
        <v>27</v>
      </c>
      <c r="D26" t="s">
        <v>30</v>
      </c>
      <c r="E26" t="s">
        <v>31</v>
      </c>
      <c r="F26">
        <f>'A-Demande-Ind-lait'!O$12/6</f>
        <v>956390.97744360904</v>
      </c>
      <c r="G26">
        <f>'A-Demande-Ind-lait'!P$12/6</f>
        <v>281954.88721804513</v>
      </c>
      <c r="H26">
        <f>'A-Demande-Ind-lait'!Q$12/6</f>
        <v>520050.12531328318</v>
      </c>
      <c r="I26">
        <f>'A-Demande-Ind-lait'!R$12/6</f>
        <v>368421.05263157893</v>
      </c>
      <c r="J26">
        <f>'A-Demande-Ind-lait'!S$12/6</f>
        <v>2126.8170426065167</v>
      </c>
      <c r="L26" s="5"/>
    </row>
    <row r="27" spans="1:12">
      <c r="A27">
        <v>17</v>
      </c>
      <c r="B27">
        <v>2</v>
      </c>
      <c r="C27">
        <v>27</v>
      </c>
      <c r="D27" t="s">
        <v>34</v>
      </c>
      <c r="E27" t="s">
        <v>35</v>
      </c>
      <c r="F27">
        <f>'A-Demande-Ind-lait'!O$12/6</f>
        <v>956390.97744360904</v>
      </c>
      <c r="G27">
        <f>'A-Demande-Ind-lait'!P$12/6</f>
        <v>281954.88721804513</v>
      </c>
      <c r="H27">
        <f>'A-Demande-Ind-lait'!Q$12/6</f>
        <v>520050.12531328318</v>
      </c>
      <c r="I27">
        <f>'A-Demande-Ind-lait'!R$12/6</f>
        <v>368421.05263157893</v>
      </c>
      <c r="J27">
        <f>'A-Demande-Ind-lait'!S$12/6</f>
        <v>2126.8170426065167</v>
      </c>
    </row>
    <row r="28" spans="1:12">
      <c r="A28">
        <v>18</v>
      </c>
      <c r="B28">
        <v>2</v>
      </c>
      <c r="C28">
        <v>27</v>
      </c>
      <c r="D28" t="s">
        <v>36</v>
      </c>
      <c r="E28" t="s">
        <v>37</v>
      </c>
      <c r="F28">
        <f>'A-Demande-Ind-lait'!O$12/6</f>
        <v>956390.97744360904</v>
      </c>
      <c r="G28">
        <f>'A-Demande-Ind-lait'!P$12/6</f>
        <v>281954.88721804513</v>
      </c>
      <c r="H28">
        <f>'A-Demande-Ind-lait'!Q$12/6</f>
        <v>520050.12531328318</v>
      </c>
      <c r="I28">
        <f>'A-Demande-Ind-lait'!R$12/6</f>
        <v>368421.05263157893</v>
      </c>
      <c r="J28">
        <f>'A-Demande-Ind-lait'!S$12/6</f>
        <v>2126.8170426065167</v>
      </c>
    </row>
    <row r="29" spans="1:12">
      <c r="A29">
        <v>19</v>
      </c>
      <c r="B29">
        <v>2</v>
      </c>
      <c r="C29">
        <v>27</v>
      </c>
      <c r="D29" t="s">
        <v>38</v>
      </c>
      <c r="E29" t="s">
        <v>39</v>
      </c>
      <c r="F29">
        <f>'A-Demande-Ind-lait'!O$12/6</f>
        <v>956390.97744360904</v>
      </c>
      <c r="G29">
        <f>'A-Demande-Ind-lait'!P$12/6</f>
        <v>281954.88721804513</v>
      </c>
      <c r="H29">
        <f>'A-Demande-Ind-lait'!Q$12/6</f>
        <v>520050.12531328318</v>
      </c>
      <c r="I29">
        <f>'A-Demande-Ind-lait'!R$12/6</f>
        <v>368421.05263157893</v>
      </c>
      <c r="J29">
        <f>'A-Demande-Ind-lait'!S$12/6</f>
        <v>2126.8170426065167</v>
      </c>
    </row>
    <row r="30" spans="1:12">
      <c r="A30">
        <v>62</v>
      </c>
      <c r="B30">
        <v>2</v>
      </c>
      <c r="C30">
        <v>27</v>
      </c>
      <c r="D30" t="s">
        <v>124</v>
      </c>
      <c r="E30" t="s">
        <v>125</v>
      </c>
      <c r="F30">
        <f>'A-Demande-Ind-lait'!O$12/6</f>
        <v>956390.97744360904</v>
      </c>
      <c r="G30">
        <f>'A-Demande-Ind-lait'!P$12/6</f>
        <v>281954.88721804513</v>
      </c>
      <c r="H30">
        <f>'A-Demande-Ind-lait'!Q$12/6</f>
        <v>520050.12531328318</v>
      </c>
      <c r="I30">
        <f>'A-Demande-Ind-lait'!R$12/6</f>
        <v>368421.05263157893</v>
      </c>
      <c r="J30">
        <f>'A-Demande-Ind-lait'!S$12/6</f>
        <v>2126.8170426065167</v>
      </c>
    </row>
    <row r="31" spans="1:12">
      <c r="A31">
        <v>7</v>
      </c>
      <c r="B31">
        <v>3</v>
      </c>
      <c r="C31">
        <v>27</v>
      </c>
      <c r="D31" t="s">
        <v>14</v>
      </c>
      <c r="E31" t="s">
        <v>15</v>
      </c>
      <c r="F31">
        <f>'A-Demande-Ind-lait'!O$13/3</f>
        <v>1275187.969924812</v>
      </c>
      <c r="G31">
        <f>'A-Demande-Ind-lait'!P$13/3</f>
        <v>375939.84962406015</v>
      </c>
      <c r="H31">
        <f>'A-Demande-Ind-lait'!Q$13/3</f>
        <v>693400.16708437761</v>
      </c>
      <c r="I31">
        <f>'A-Demande-Ind-lait'!R$13/3</f>
        <v>491228.07017543865</v>
      </c>
      <c r="J31">
        <f>'A-Demande-Ind-lait'!S$13/3</f>
        <v>2835.7560568086883</v>
      </c>
    </row>
    <row r="32" spans="1:12">
      <c r="A32">
        <v>47</v>
      </c>
      <c r="B32">
        <v>3</v>
      </c>
      <c r="C32">
        <v>27</v>
      </c>
      <c r="D32" t="s">
        <v>94</v>
      </c>
      <c r="E32" t="s">
        <v>95</v>
      </c>
      <c r="F32">
        <f>'A-Demande-Ind-lait'!O$13/3</f>
        <v>1275187.969924812</v>
      </c>
      <c r="G32">
        <f>'A-Demande-Ind-lait'!P$13/3</f>
        <v>375939.84962406015</v>
      </c>
      <c r="H32">
        <f>'A-Demande-Ind-lait'!Q$13/3</f>
        <v>693400.16708437761</v>
      </c>
      <c r="I32">
        <f>'A-Demande-Ind-lait'!R$13/3</f>
        <v>491228.07017543865</v>
      </c>
      <c r="J32">
        <f>'A-Demande-Ind-lait'!S$13/3</f>
        <v>2835.7560568086883</v>
      </c>
    </row>
    <row r="33" spans="1:12">
      <c r="A33">
        <v>61</v>
      </c>
      <c r="B33">
        <v>3</v>
      </c>
      <c r="C33">
        <v>27</v>
      </c>
      <c r="D33" t="s">
        <v>122</v>
      </c>
      <c r="E33" t="s">
        <v>123</v>
      </c>
      <c r="F33">
        <f>'A-Demande-Ind-lait'!O$13/3</f>
        <v>1275187.969924812</v>
      </c>
      <c r="G33">
        <f>'A-Demande-Ind-lait'!P$13/3</f>
        <v>375939.84962406015</v>
      </c>
      <c r="H33">
        <f>'A-Demande-Ind-lait'!Q$13/3</f>
        <v>693400.16708437761</v>
      </c>
      <c r="I33">
        <f>'A-Demande-Ind-lait'!R$13/3</f>
        <v>491228.07017543865</v>
      </c>
      <c r="J33">
        <f>'A-Demande-Ind-lait'!S$13/3</f>
        <v>2835.7560568086883</v>
      </c>
    </row>
    <row r="34" spans="1:12">
      <c r="A34">
        <v>8</v>
      </c>
      <c r="B34">
        <v>1</v>
      </c>
      <c r="C34">
        <v>50</v>
      </c>
      <c r="D34" t="s">
        <v>16</v>
      </c>
      <c r="E34" t="s">
        <v>17</v>
      </c>
      <c r="F34">
        <f>'A-Demande-Ind-lait'!O$14/2</f>
        <v>38255639.097744361</v>
      </c>
      <c r="G34">
        <f>'A-Demande-Ind-lait'!P$14/2</f>
        <v>11278195.488721805</v>
      </c>
      <c r="H34">
        <f>'A-Demande-Ind-lait'!Q$14/2</f>
        <v>20802005.012531325</v>
      </c>
      <c r="I34">
        <f>'A-Demande-Ind-lait'!R$14/2</f>
        <v>14736842.105263157</v>
      </c>
      <c r="J34">
        <f>'A-Demande-Ind-lait'!S$14/2</f>
        <v>85072.681704260642</v>
      </c>
    </row>
    <row r="35" spans="1:12">
      <c r="A35">
        <v>34</v>
      </c>
      <c r="B35">
        <v>1</v>
      </c>
      <c r="C35">
        <v>50</v>
      </c>
      <c r="D35" t="s">
        <v>68</v>
      </c>
      <c r="E35" t="s">
        <v>69</v>
      </c>
      <c r="F35">
        <f>'A-Demande-Ind-lait'!O$14/2</f>
        <v>38255639.097744361</v>
      </c>
      <c r="G35">
        <f>'A-Demande-Ind-lait'!P$14/2</f>
        <v>11278195.488721805</v>
      </c>
      <c r="H35">
        <f>'A-Demande-Ind-lait'!Q$14/2</f>
        <v>20802005.012531325</v>
      </c>
      <c r="I35">
        <f>'A-Demande-Ind-lait'!R$14/2</f>
        <v>14736842.105263157</v>
      </c>
      <c r="J35">
        <f>'A-Demande-Ind-lait'!S$14/2</f>
        <v>85072.681704260642</v>
      </c>
    </row>
    <row r="36" spans="1:12">
      <c r="A36">
        <v>9</v>
      </c>
      <c r="B36">
        <v>2</v>
      </c>
      <c r="C36">
        <v>50</v>
      </c>
      <c r="D36" t="s">
        <v>18</v>
      </c>
      <c r="E36" t="s">
        <v>19</v>
      </c>
      <c r="F36">
        <f>'A-Demande-Ind-lait'!O$15/2</f>
        <v>52601503.75939849</v>
      </c>
      <c r="G36">
        <f>'A-Demande-Ind-lait'!P$15/2</f>
        <v>15507518.796992481</v>
      </c>
      <c r="H36">
        <f>'A-Demande-Ind-lait'!Q$15/2</f>
        <v>28602756.892230574</v>
      </c>
      <c r="I36">
        <f>'A-Demande-Ind-lait'!R$15/2</f>
        <v>20263157.894736841</v>
      </c>
      <c r="J36">
        <f>'A-Demande-Ind-lait'!S$15/2</f>
        <v>116974.93734335838</v>
      </c>
    </row>
    <row r="37" spans="1:12">
      <c r="A37">
        <v>26</v>
      </c>
      <c r="B37">
        <v>2</v>
      </c>
      <c r="C37">
        <v>50</v>
      </c>
      <c r="D37" t="s">
        <v>52</v>
      </c>
      <c r="E37" t="s">
        <v>53</v>
      </c>
      <c r="F37">
        <f>'A-Demande-Ind-lait'!O$15/2</f>
        <v>52601503.75939849</v>
      </c>
      <c r="G37">
        <f>'A-Demande-Ind-lait'!P$15/2</f>
        <v>15507518.796992481</v>
      </c>
      <c r="H37">
        <f>'A-Demande-Ind-lait'!Q$15/2</f>
        <v>28602756.892230574</v>
      </c>
      <c r="I37">
        <f>'A-Demande-Ind-lait'!R$15/2</f>
        <v>20263157.894736841</v>
      </c>
      <c r="J37">
        <f>'A-Demande-Ind-lait'!S$15/2</f>
        <v>116974.93734335838</v>
      </c>
    </row>
    <row r="38" spans="1:12">
      <c r="A38">
        <v>24</v>
      </c>
      <c r="B38">
        <v>3</v>
      </c>
      <c r="C38">
        <v>50</v>
      </c>
      <c r="D38" t="s">
        <v>48</v>
      </c>
      <c r="E38" t="s">
        <v>49</v>
      </c>
      <c r="F38">
        <f>'A-Demande-Ind-lait'!O$16/2</f>
        <v>43037593.984962404</v>
      </c>
      <c r="G38">
        <f>'A-Demande-Ind-lait'!P$16/2</f>
        <v>12687969.92481203</v>
      </c>
      <c r="H38">
        <f>'A-Demande-Ind-lait'!Q$16/2</f>
        <v>23402255.639097743</v>
      </c>
      <c r="I38">
        <f>'A-Demande-Ind-lait'!R$16/2</f>
        <v>16578947.368421052</v>
      </c>
      <c r="J38">
        <f>'A-Demande-Ind-lait'!S$16/2</f>
        <v>95706.766917293222</v>
      </c>
    </row>
    <row r="39" spans="1:12">
      <c r="A39">
        <v>25</v>
      </c>
      <c r="B39">
        <v>3</v>
      </c>
      <c r="C39">
        <v>50</v>
      </c>
      <c r="D39" t="s">
        <v>50</v>
      </c>
      <c r="E39" t="s">
        <v>51</v>
      </c>
      <c r="F39">
        <f>'A-Demande-Ind-lait'!O$16/2</f>
        <v>43037593.984962404</v>
      </c>
      <c r="G39">
        <f>'A-Demande-Ind-lait'!P$16/2</f>
        <v>12687969.92481203</v>
      </c>
      <c r="H39">
        <f>'A-Demande-Ind-lait'!Q$16/2</f>
        <v>23402255.639097743</v>
      </c>
      <c r="I39">
        <f>'A-Demande-Ind-lait'!R$16/2</f>
        <v>16578947.368421052</v>
      </c>
      <c r="J39">
        <f>'A-Demande-Ind-lait'!S$16/2</f>
        <v>95706.766917293222</v>
      </c>
    </row>
    <row r="40" spans="1:12">
      <c r="A40">
        <v>10</v>
      </c>
      <c r="B40">
        <v>4</v>
      </c>
      <c r="C40">
        <v>50</v>
      </c>
      <c r="D40" t="s">
        <v>20</v>
      </c>
      <c r="E40" t="s">
        <v>21</v>
      </c>
      <c r="F40">
        <f>'A-Demande-Ind-lait'!O$17/2</f>
        <v>71729323.308270678</v>
      </c>
      <c r="G40">
        <f>'A-Demande-Ind-lait'!P$17/2</f>
        <v>21146616.541353382</v>
      </c>
      <c r="H40">
        <f>'A-Demande-Ind-lait'!Q$17/2</f>
        <v>39003759.398496233</v>
      </c>
      <c r="I40">
        <f>'A-Demande-Ind-lait'!R$17/2</f>
        <v>27631578.947368421</v>
      </c>
      <c r="J40">
        <f>'A-Demande-Ind-lait'!S$17/2</f>
        <v>159511.27819548873</v>
      </c>
      <c r="L40" s="5"/>
    </row>
    <row r="41" spans="1:12">
      <c r="A41">
        <v>16</v>
      </c>
      <c r="B41">
        <v>4</v>
      </c>
      <c r="C41">
        <v>50</v>
      </c>
      <c r="D41" t="s">
        <v>32</v>
      </c>
      <c r="E41" t="s">
        <v>33</v>
      </c>
      <c r="F41">
        <f>'A-Demande-Ind-lait'!O$17/2</f>
        <v>71729323.308270678</v>
      </c>
      <c r="G41">
        <f>'A-Demande-Ind-lait'!P$17/2</f>
        <v>21146616.541353382</v>
      </c>
      <c r="H41">
        <f>'A-Demande-Ind-lait'!Q$17/2</f>
        <v>39003759.398496233</v>
      </c>
      <c r="I41">
        <f>'A-Demande-Ind-lait'!R$17/2</f>
        <v>27631578.947368421</v>
      </c>
      <c r="J41">
        <f>'A-Demande-Ind-lait'!S$17/2</f>
        <v>159511.27819548873</v>
      </c>
    </row>
    <row r="42" spans="1:12">
      <c r="A42">
        <v>3</v>
      </c>
      <c r="B42">
        <v>1</v>
      </c>
      <c r="C42">
        <v>61</v>
      </c>
      <c r="D42" t="s">
        <v>6</v>
      </c>
      <c r="E42" t="s">
        <v>7</v>
      </c>
      <c r="F42">
        <f>'A-Demande-Ind-lait'!O$18/5</f>
        <v>15302255.639097745</v>
      </c>
      <c r="G42">
        <f>'A-Demande-Ind-lait'!P$18/5</f>
        <v>4511278.1954887221</v>
      </c>
      <c r="H42">
        <f>'A-Demande-Ind-lait'!Q$18/5</f>
        <v>8320802.0050125299</v>
      </c>
      <c r="I42">
        <f>'A-Demande-Ind-lait'!R$18/5</f>
        <v>5894736.8421052629</v>
      </c>
      <c r="J42">
        <f>'A-Demande-Ind-lait'!S$18/5</f>
        <v>34029.07268170426</v>
      </c>
    </row>
    <row r="43" spans="1:12">
      <c r="A43">
        <v>4</v>
      </c>
      <c r="B43">
        <v>1</v>
      </c>
      <c r="C43">
        <v>61</v>
      </c>
      <c r="D43" t="s">
        <v>8</v>
      </c>
      <c r="E43" t="s">
        <v>9</v>
      </c>
      <c r="F43">
        <f>'A-Demande-Ind-lait'!O$18/5</f>
        <v>15302255.639097745</v>
      </c>
      <c r="G43">
        <f>'A-Demande-Ind-lait'!P$18/5</f>
        <v>4511278.1954887221</v>
      </c>
      <c r="H43">
        <f>'A-Demande-Ind-lait'!Q$18/5</f>
        <v>8320802.0050125299</v>
      </c>
      <c r="I43">
        <f>'A-Demande-Ind-lait'!R$18/5</f>
        <v>5894736.8421052629</v>
      </c>
      <c r="J43">
        <f>'A-Demande-Ind-lait'!S$18/5</f>
        <v>34029.07268170426</v>
      </c>
    </row>
    <row r="44" spans="1:12">
      <c r="A44">
        <v>28</v>
      </c>
      <c r="B44">
        <v>1</v>
      </c>
      <c r="C44">
        <v>61</v>
      </c>
      <c r="D44" t="s">
        <v>56</v>
      </c>
      <c r="E44" t="s">
        <v>57</v>
      </c>
      <c r="F44">
        <f>'A-Demande-Ind-lait'!O$18/5</f>
        <v>15302255.639097745</v>
      </c>
      <c r="G44">
        <f>'A-Demande-Ind-lait'!P$18/5</f>
        <v>4511278.1954887221</v>
      </c>
      <c r="H44">
        <f>'A-Demande-Ind-lait'!Q$18/5</f>
        <v>8320802.0050125299</v>
      </c>
      <c r="I44">
        <f>'A-Demande-Ind-lait'!R$18/5</f>
        <v>5894736.8421052629</v>
      </c>
      <c r="J44">
        <f>'A-Demande-Ind-lait'!S$18/5</f>
        <v>34029.07268170426</v>
      </c>
    </row>
    <row r="45" spans="1:12">
      <c r="A45">
        <v>50</v>
      </c>
      <c r="B45">
        <v>1</v>
      </c>
      <c r="C45">
        <v>61</v>
      </c>
      <c r="D45" t="s">
        <v>100</v>
      </c>
      <c r="E45" t="s">
        <v>101</v>
      </c>
      <c r="F45">
        <f>'A-Demande-Ind-lait'!O$18/5</f>
        <v>15302255.639097745</v>
      </c>
      <c r="G45">
        <f>'A-Demande-Ind-lait'!P$18/5</f>
        <v>4511278.1954887221</v>
      </c>
      <c r="H45">
        <f>'A-Demande-Ind-lait'!Q$18/5</f>
        <v>8320802.0050125299</v>
      </c>
      <c r="I45">
        <f>'A-Demande-Ind-lait'!R$18/5</f>
        <v>5894736.8421052629</v>
      </c>
      <c r="J45">
        <f>'A-Demande-Ind-lait'!S$18/5</f>
        <v>34029.07268170426</v>
      </c>
    </row>
    <row r="46" spans="1:12">
      <c r="A46">
        <v>64</v>
      </c>
      <c r="B46">
        <v>1</v>
      </c>
      <c r="C46">
        <v>61</v>
      </c>
      <c r="D46" t="s">
        <v>128</v>
      </c>
      <c r="E46" t="s">
        <v>129</v>
      </c>
      <c r="F46">
        <f>'A-Demande-Ind-lait'!O$18/5</f>
        <v>15302255.639097745</v>
      </c>
      <c r="G46">
        <f>'A-Demande-Ind-lait'!P$18/5</f>
        <v>4511278.1954887221</v>
      </c>
      <c r="H46">
        <f>'A-Demande-Ind-lait'!Q$18/5</f>
        <v>8320802.0050125299</v>
      </c>
      <c r="I46">
        <f>'A-Demande-Ind-lait'!R$18/5</f>
        <v>5894736.8421052629</v>
      </c>
      <c r="J46">
        <f>'A-Demande-Ind-lait'!S$18/5</f>
        <v>34029.07268170426</v>
      </c>
    </row>
    <row r="47" spans="1:12">
      <c r="A47">
        <v>5</v>
      </c>
      <c r="B47">
        <v>2</v>
      </c>
      <c r="C47">
        <v>61</v>
      </c>
      <c r="D47" t="s">
        <v>10</v>
      </c>
      <c r="E47" t="s">
        <v>11</v>
      </c>
      <c r="F47">
        <f>'A-Demande-Ind-lait'!O$19/4</f>
        <v>38255639.097744361</v>
      </c>
      <c r="G47">
        <f>'A-Demande-Ind-lait'!P$19/4</f>
        <v>11278195.488721805</v>
      </c>
      <c r="H47">
        <f>'A-Demande-Ind-lait'!Q$19/4</f>
        <v>20802005.012531325</v>
      </c>
      <c r="I47">
        <f>'A-Demande-Ind-lait'!R$19/4</f>
        <v>14736842.105263157</v>
      </c>
      <c r="J47">
        <f>'A-Demande-Ind-lait'!S$19/4</f>
        <v>85072.681704260642</v>
      </c>
    </row>
    <row r="48" spans="1:12">
      <c r="A48">
        <v>29</v>
      </c>
      <c r="B48">
        <v>2</v>
      </c>
      <c r="C48">
        <v>61</v>
      </c>
      <c r="D48" t="s">
        <v>58</v>
      </c>
      <c r="E48" t="s">
        <v>59</v>
      </c>
      <c r="F48">
        <f>'A-Demande-Ind-lait'!O$19/4</f>
        <v>38255639.097744361</v>
      </c>
      <c r="G48">
        <f>'A-Demande-Ind-lait'!P$19/4</f>
        <v>11278195.488721805</v>
      </c>
      <c r="H48">
        <f>'A-Demande-Ind-lait'!Q$19/4</f>
        <v>20802005.012531325</v>
      </c>
      <c r="I48">
        <f>'A-Demande-Ind-lait'!R$19/4</f>
        <v>14736842.105263157</v>
      </c>
      <c r="J48">
        <f>'A-Demande-Ind-lait'!S$19/4</f>
        <v>85072.681704260642</v>
      </c>
    </row>
    <row r="49" spans="1:12">
      <c r="A49">
        <v>49</v>
      </c>
      <c r="B49">
        <v>2</v>
      </c>
      <c r="C49">
        <v>61</v>
      </c>
      <c r="D49" t="s">
        <v>98</v>
      </c>
      <c r="E49" t="s">
        <v>99</v>
      </c>
      <c r="F49">
        <f>'A-Demande-Ind-lait'!O$19/4</f>
        <v>38255639.097744361</v>
      </c>
      <c r="G49">
        <f>'A-Demande-Ind-lait'!P$19/4</f>
        <v>11278195.488721805</v>
      </c>
      <c r="H49">
        <f>'A-Demande-Ind-lait'!Q$19/4</f>
        <v>20802005.012531325</v>
      </c>
      <c r="I49">
        <f>'A-Demande-Ind-lait'!R$19/4</f>
        <v>14736842.105263157</v>
      </c>
      <c r="J49">
        <f>'A-Demande-Ind-lait'!S$19/4</f>
        <v>85072.681704260642</v>
      </c>
    </row>
    <row r="50" spans="1:12">
      <c r="A50">
        <v>63</v>
      </c>
      <c r="B50">
        <v>2</v>
      </c>
      <c r="C50">
        <v>61</v>
      </c>
      <c r="D50" t="s">
        <v>126</v>
      </c>
      <c r="E50" t="s">
        <v>127</v>
      </c>
      <c r="F50">
        <f>'A-Demande-Ind-lait'!O$19/4</f>
        <v>38255639.097744361</v>
      </c>
      <c r="G50">
        <f>'A-Demande-Ind-lait'!P$19/4</f>
        <v>11278195.488721805</v>
      </c>
      <c r="H50">
        <f>'A-Demande-Ind-lait'!Q$19/4</f>
        <v>20802005.012531325</v>
      </c>
      <c r="I50">
        <f>'A-Demande-Ind-lait'!R$19/4</f>
        <v>14736842.105263157</v>
      </c>
      <c r="J50">
        <f>'A-Demande-Ind-lait'!S$19/4</f>
        <v>85072.681704260642</v>
      </c>
    </row>
    <row r="51" spans="1:12">
      <c r="A51">
        <v>6</v>
      </c>
      <c r="B51">
        <v>3</v>
      </c>
      <c r="C51">
        <v>61</v>
      </c>
      <c r="D51" t="s">
        <v>12</v>
      </c>
      <c r="E51" t="s">
        <v>13</v>
      </c>
      <c r="F51">
        <f>'A-Demande-Ind-lait'!O$20/7</f>
        <v>2732545.649838883</v>
      </c>
      <c r="G51">
        <f>'A-Demande-Ind-lait'!P$20/7</f>
        <v>805585.39205155743</v>
      </c>
      <c r="H51">
        <f>'A-Demande-Ind-lait'!Q$20/7</f>
        <v>1485857.5008950946</v>
      </c>
      <c r="I51">
        <f>'A-Demande-Ind-lait'!R$20/7</f>
        <v>1052631.5789473683</v>
      </c>
      <c r="J51">
        <f>'A-Demande-Ind-lait'!S$20/7</f>
        <v>6076.6201217329026</v>
      </c>
    </row>
    <row r="52" spans="1:12">
      <c r="A52">
        <v>27</v>
      </c>
      <c r="B52">
        <v>3</v>
      </c>
      <c r="C52">
        <v>61</v>
      </c>
      <c r="D52" t="s">
        <v>54</v>
      </c>
      <c r="E52" t="s">
        <v>55</v>
      </c>
      <c r="F52">
        <f>'A-Demande-Ind-lait'!O$20/7</f>
        <v>2732545.649838883</v>
      </c>
      <c r="G52">
        <f>'A-Demande-Ind-lait'!P$20/7</f>
        <v>805585.39205155743</v>
      </c>
      <c r="H52">
        <f>'A-Demande-Ind-lait'!Q$20/7</f>
        <v>1485857.5008950946</v>
      </c>
      <c r="I52">
        <f>'A-Demande-Ind-lait'!R$20/7</f>
        <v>1052631.5789473683</v>
      </c>
      <c r="J52">
        <f>'A-Demande-Ind-lait'!S$20/7</f>
        <v>6076.6201217329026</v>
      </c>
    </row>
    <row r="53" spans="1:12">
      <c r="A53">
        <v>30</v>
      </c>
      <c r="B53">
        <v>3</v>
      </c>
      <c r="C53">
        <v>61</v>
      </c>
      <c r="D53" t="s">
        <v>60</v>
      </c>
      <c r="E53" t="s">
        <v>61</v>
      </c>
      <c r="F53">
        <f>'A-Demande-Ind-lait'!O$20/7</f>
        <v>2732545.649838883</v>
      </c>
      <c r="G53">
        <f>'A-Demande-Ind-lait'!P$20/7</f>
        <v>805585.39205155743</v>
      </c>
      <c r="H53">
        <f>'A-Demande-Ind-lait'!Q$20/7</f>
        <v>1485857.5008950946</v>
      </c>
      <c r="I53">
        <f>'A-Demande-Ind-lait'!R$20/7</f>
        <v>1052631.5789473683</v>
      </c>
      <c r="J53">
        <f>'A-Demande-Ind-lait'!S$20/7</f>
        <v>6076.6201217329026</v>
      </c>
    </row>
    <row r="54" spans="1:12">
      <c r="A54">
        <v>33</v>
      </c>
      <c r="B54">
        <v>3</v>
      </c>
      <c r="C54">
        <v>61</v>
      </c>
      <c r="D54" t="s">
        <v>66</v>
      </c>
      <c r="E54" t="s">
        <v>67</v>
      </c>
      <c r="F54">
        <f>'A-Demande-Ind-lait'!O$20/7</f>
        <v>2732545.649838883</v>
      </c>
      <c r="G54">
        <f>'A-Demande-Ind-lait'!P$20/7</f>
        <v>805585.39205155743</v>
      </c>
      <c r="H54">
        <f>'A-Demande-Ind-lait'!Q$20/7</f>
        <v>1485857.5008950946</v>
      </c>
      <c r="I54">
        <f>'A-Demande-Ind-lait'!R$20/7</f>
        <v>1052631.5789473683</v>
      </c>
      <c r="J54">
        <f>'A-Demande-Ind-lait'!S$20/7</f>
        <v>6076.6201217329026</v>
      </c>
    </row>
    <row r="55" spans="1:12">
      <c r="A55">
        <v>35</v>
      </c>
      <c r="B55">
        <v>3</v>
      </c>
      <c r="C55">
        <v>61</v>
      </c>
      <c r="D55" t="s">
        <v>70</v>
      </c>
      <c r="E55" t="s">
        <v>71</v>
      </c>
      <c r="F55">
        <f>'A-Demande-Ind-lait'!O$20/7</f>
        <v>2732545.649838883</v>
      </c>
      <c r="G55">
        <f>'A-Demande-Ind-lait'!P$20/7</f>
        <v>805585.39205155743</v>
      </c>
      <c r="H55">
        <f>'A-Demande-Ind-lait'!Q$20/7</f>
        <v>1485857.5008950946</v>
      </c>
      <c r="I55">
        <f>'A-Demande-Ind-lait'!R$20/7</f>
        <v>1052631.5789473683</v>
      </c>
      <c r="J55">
        <f>'A-Demande-Ind-lait'!S$20/7</f>
        <v>6076.6201217329026</v>
      </c>
    </row>
    <row r="56" spans="1:12">
      <c r="A56">
        <v>48</v>
      </c>
      <c r="B56">
        <v>3</v>
      </c>
      <c r="C56">
        <v>61</v>
      </c>
      <c r="D56" t="s">
        <v>96</v>
      </c>
      <c r="E56" t="s">
        <v>97</v>
      </c>
      <c r="F56">
        <f>'A-Demande-Ind-lait'!O$20/7</f>
        <v>2732545.649838883</v>
      </c>
      <c r="G56">
        <f>'A-Demande-Ind-lait'!P$20/7</f>
        <v>805585.39205155743</v>
      </c>
      <c r="H56">
        <f>'A-Demande-Ind-lait'!Q$20/7</f>
        <v>1485857.5008950946</v>
      </c>
      <c r="I56">
        <f>'A-Demande-Ind-lait'!R$20/7</f>
        <v>1052631.5789473683</v>
      </c>
      <c r="J56">
        <f>'A-Demande-Ind-lait'!S$20/7</f>
        <v>6076.6201217329026</v>
      </c>
    </row>
    <row r="57" spans="1:12">
      <c r="A57">
        <v>53</v>
      </c>
      <c r="B57">
        <v>3</v>
      </c>
      <c r="C57">
        <v>61</v>
      </c>
      <c r="D57" t="s">
        <v>106</v>
      </c>
      <c r="E57" t="s">
        <v>107</v>
      </c>
      <c r="F57">
        <f>'A-Demande-Ind-lait'!O$20/7</f>
        <v>2732545.649838883</v>
      </c>
      <c r="G57">
        <f>'A-Demande-Ind-lait'!P$20/7</f>
        <v>805585.39205155743</v>
      </c>
      <c r="H57">
        <f>'A-Demande-Ind-lait'!Q$20/7</f>
        <v>1485857.5008950946</v>
      </c>
      <c r="I57">
        <f>'A-Demande-Ind-lait'!R$20/7</f>
        <v>1052631.5789473683</v>
      </c>
      <c r="J57">
        <f>'A-Demande-Ind-lait'!S$20/7</f>
        <v>6076.6201217329026</v>
      </c>
    </row>
    <row r="58" spans="1:12">
      <c r="A58">
        <v>31</v>
      </c>
      <c r="B58">
        <v>1</v>
      </c>
      <c r="C58">
        <v>76</v>
      </c>
      <c r="D58" t="s">
        <v>62</v>
      </c>
      <c r="E58" t="s">
        <v>63</v>
      </c>
      <c r="F58">
        <f>'A-Demande-Ind-lait'!O$21/9</f>
        <v>8501253.1328320801</v>
      </c>
      <c r="G58">
        <f>'A-Demande-Ind-lait'!P$21/9</f>
        <v>2506265.6641604011</v>
      </c>
      <c r="H58">
        <f>'A-Demande-Ind-lait'!Q$21/9</f>
        <v>4622667.7805625163</v>
      </c>
      <c r="I58">
        <f>'A-Demande-Ind-lait'!R$21/9</f>
        <v>3274853.8011695906</v>
      </c>
      <c r="J58">
        <f>'A-Demande-Ind-lait'!S$21/9</f>
        <v>18905.040378724589</v>
      </c>
    </row>
    <row r="59" spans="1:12">
      <c r="A59">
        <v>39</v>
      </c>
      <c r="B59">
        <v>1</v>
      </c>
      <c r="C59">
        <v>76</v>
      </c>
      <c r="D59" t="s">
        <v>78</v>
      </c>
      <c r="E59" t="s">
        <v>79</v>
      </c>
      <c r="F59">
        <f>'A-Demande-Ind-lait'!O$21/9</f>
        <v>8501253.1328320801</v>
      </c>
      <c r="G59">
        <f>'A-Demande-Ind-lait'!P$21/9</f>
        <v>2506265.6641604011</v>
      </c>
      <c r="H59">
        <f>'A-Demande-Ind-lait'!Q$21/9</f>
        <v>4622667.7805625163</v>
      </c>
      <c r="I59">
        <f>'A-Demande-Ind-lait'!R$21/9</f>
        <v>3274853.8011695906</v>
      </c>
      <c r="J59">
        <f>'A-Demande-Ind-lait'!S$21/9</f>
        <v>18905.040378724589</v>
      </c>
    </row>
    <row r="60" spans="1:12">
      <c r="A60">
        <v>40</v>
      </c>
      <c r="B60">
        <v>1</v>
      </c>
      <c r="C60">
        <v>76</v>
      </c>
      <c r="D60" t="s">
        <v>80</v>
      </c>
      <c r="E60" t="s">
        <v>81</v>
      </c>
      <c r="F60">
        <f>'A-Demande-Ind-lait'!O$21/9</f>
        <v>8501253.1328320801</v>
      </c>
      <c r="G60">
        <f>'A-Demande-Ind-lait'!P$21/9</f>
        <v>2506265.6641604011</v>
      </c>
      <c r="H60">
        <f>'A-Demande-Ind-lait'!Q$21/9</f>
        <v>4622667.7805625163</v>
      </c>
      <c r="I60">
        <f>'A-Demande-Ind-lait'!R$21/9</f>
        <v>3274853.8011695906</v>
      </c>
      <c r="J60">
        <f>'A-Demande-Ind-lait'!S$21/9</f>
        <v>18905.040378724589</v>
      </c>
    </row>
    <row r="61" spans="1:12">
      <c r="A61">
        <v>42</v>
      </c>
      <c r="B61">
        <v>1</v>
      </c>
      <c r="C61">
        <v>76</v>
      </c>
      <c r="D61" t="s">
        <v>84</v>
      </c>
      <c r="E61" t="s">
        <v>85</v>
      </c>
      <c r="F61">
        <f>'A-Demande-Ind-lait'!O$21/9</f>
        <v>8501253.1328320801</v>
      </c>
      <c r="G61">
        <f>'A-Demande-Ind-lait'!P$21/9</f>
        <v>2506265.6641604011</v>
      </c>
      <c r="H61">
        <f>'A-Demande-Ind-lait'!Q$21/9</f>
        <v>4622667.7805625163</v>
      </c>
      <c r="I61">
        <f>'A-Demande-Ind-lait'!R$21/9</f>
        <v>3274853.8011695906</v>
      </c>
      <c r="J61">
        <f>'A-Demande-Ind-lait'!S$21/9</f>
        <v>18905.040378724589</v>
      </c>
    </row>
    <row r="62" spans="1:12">
      <c r="A62">
        <v>44</v>
      </c>
      <c r="B62">
        <v>1</v>
      </c>
      <c r="C62">
        <v>76</v>
      </c>
      <c r="D62" t="s">
        <v>88</v>
      </c>
      <c r="E62" t="s">
        <v>89</v>
      </c>
      <c r="F62">
        <f>'A-Demande-Ind-lait'!O$21/9</f>
        <v>8501253.1328320801</v>
      </c>
      <c r="G62">
        <f>'A-Demande-Ind-lait'!P$21/9</f>
        <v>2506265.6641604011</v>
      </c>
      <c r="H62">
        <f>'A-Demande-Ind-lait'!Q$21/9</f>
        <v>4622667.7805625163</v>
      </c>
      <c r="I62">
        <f>'A-Demande-Ind-lait'!R$21/9</f>
        <v>3274853.8011695906</v>
      </c>
      <c r="J62">
        <f>'A-Demande-Ind-lait'!S$21/9</f>
        <v>18905.040378724589</v>
      </c>
      <c r="L62" s="5"/>
    </row>
    <row r="63" spans="1:12">
      <c r="A63">
        <v>66</v>
      </c>
      <c r="B63">
        <v>1</v>
      </c>
      <c r="C63">
        <v>76</v>
      </c>
      <c r="D63" t="s">
        <v>132</v>
      </c>
      <c r="E63" t="s">
        <v>133</v>
      </c>
      <c r="F63">
        <f>'A-Demande-Ind-lait'!O$21/9</f>
        <v>8501253.1328320801</v>
      </c>
      <c r="G63">
        <f>'A-Demande-Ind-lait'!P$21/9</f>
        <v>2506265.6641604011</v>
      </c>
      <c r="H63">
        <f>'A-Demande-Ind-lait'!Q$21/9</f>
        <v>4622667.7805625163</v>
      </c>
      <c r="I63">
        <f>'A-Demande-Ind-lait'!R$21/9</f>
        <v>3274853.8011695906</v>
      </c>
      <c r="J63">
        <f>'A-Demande-Ind-lait'!S$21/9</f>
        <v>18905.040378724589</v>
      </c>
    </row>
    <row r="64" spans="1:12">
      <c r="A64">
        <v>67</v>
      </c>
      <c r="B64">
        <v>1</v>
      </c>
      <c r="C64">
        <v>76</v>
      </c>
      <c r="D64" t="s">
        <v>134</v>
      </c>
      <c r="E64" t="s">
        <v>135</v>
      </c>
      <c r="F64">
        <f>'A-Demande-Ind-lait'!O$21/9</f>
        <v>8501253.1328320801</v>
      </c>
      <c r="G64">
        <f>'A-Demande-Ind-lait'!P$21/9</f>
        <v>2506265.6641604011</v>
      </c>
      <c r="H64">
        <f>'A-Demande-Ind-lait'!Q$21/9</f>
        <v>4622667.7805625163</v>
      </c>
      <c r="I64">
        <f>'A-Demande-Ind-lait'!R$21/9</f>
        <v>3274853.8011695906</v>
      </c>
      <c r="J64">
        <f>'A-Demande-Ind-lait'!S$21/9</f>
        <v>18905.040378724589</v>
      </c>
    </row>
    <row r="65" spans="1:10">
      <c r="A65">
        <v>70</v>
      </c>
      <c r="B65">
        <v>1</v>
      </c>
      <c r="C65">
        <v>76</v>
      </c>
      <c r="D65" t="s">
        <v>140</v>
      </c>
      <c r="E65" t="s">
        <v>141</v>
      </c>
      <c r="F65">
        <f>'A-Demande-Ind-lait'!O$21/9</f>
        <v>8501253.1328320801</v>
      </c>
      <c r="G65">
        <f>'A-Demande-Ind-lait'!P$21/9</f>
        <v>2506265.6641604011</v>
      </c>
      <c r="H65">
        <f>'A-Demande-Ind-lait'!Q$21/9</f>
        <v>4622667.7805625163</v>
      </c>
      <c r="I65">
        <f>'A-Demande-Ind-lait'!R$21/9</f>
        <v>3274853.8011695906</v>
      </c>
      <c r="J65">
        <f>'A-Demande-Ind-lait'!S$21/9</f>
        <v>18905.040378724589</v>
      </c>
    </row>
    <row r="66" spans="1:10">
      <c r="A66">
        <v>71</v>
      </c>
      <c r="B66">
        <v>1</v>
      </c>
      <c r="C66">
        <v>76</v>
      </c>
      <c r="D66" t="s">
        <v>142</v>
      </c>
      <c r="E66" t="s">
        <v>143</v>
      </c>
      <c r="F66">
        <f>'A-Demande-Ind-lait'!O$21/9</f>
        <v>8501253.1328320801</v>
      </c>
      <c r="G66">
        <f>'A-Demande-Ind-lait'!P$21/9</f>
        <v>2506265.6641604011</v>
      </c>
      <c r="H66">
        <f>'A-Demande-Ind-lait'!Q$21/9</f>
        <v>4622667.7805625163</v>
      </c>
      <c r="I66">
        <f>'A-Demande-Ind-lait'!R$21/9</f>
        <v>3274853.8011695906</v>
      </c>
      <c r="J66">
        <f>'A-Demande-Ind-lait'!S$21/9</f>
        <v>18905.040378724589</v>
      </c>
    </row>
    <row r="67" spans="1:10">
      <c r="A67">
        <v>1</v>
      </c>
      <c r="B67">
        <v>2</v>
      </c>
      <c r="C67">
        <v>76</v>
      </c>
      <c r="D67" t="s">
        <v>2</v>
      </c>
      <c r="E67" t="s">
        <v>3</v>
      </c>
      <c r="F67">
        <f>'A-Demande-Ind-lait'!O$22/4</f>
        <v>19127819.54887218</v>
      </c>
      <c r="G67">
        <f>'A-Demande-Ind-lait'!P$22/4</f>
        <v>5639097.7443609023</v>
      </c>
      <c r="H67">
        <f>'A-Demande-Ind-lait'!Q$22/4</f>
        <v>10401002.506265663</v>
      </c>
      <c r="I67">
        <f>'A-Demande-Ind-lait'!R$22/4</f>
        <v>7368421.0526315784</v>
      </c>
      <c r="J67">
        <f>'A-Demande-Ind-lait'!S$22/4</f>
        <v>42536.340852130321</v>
      </c>
    </row>
    <row r="68" spans="1:10">
      <c r="A68">
        <v>41</v>
      </c>
      <c r="B68">
        <v>2</v>
      </c>
      <c r="C68">
        <v>76</v>
      </c>
      <c r="D68" t="s">
        <v>82</v>
      </c>
      <c r="E68" t="s">
        <v>83</v>
      </c>
      <c r="F68">
        <f>'A-Demande-Ind-lait'!O$22/4</f>
        <v>19127819.54887218</v>
      </c>
      <c r="G68">
        <f>'A-Demande-Ind-lait'!P$22/4</f>
        <v>5639097.7443609023</v>
      </c>
      <c r="H68">
        <f>'A-Demande-Ind-lait'!Q$22/4</f>
        <v>10401002.506265663</v>
      </c>
      <c r="I68">
        <f>'A-Demande-Ind-lait'!R$22/4</f>
        <v>7368421.0526315784</v>
      </c>
      <c r="J68">
        <f>'A-Demande-Ind-lait'!S$22/4</f>
        <v>42536.340852130321</v>
      </c>
    </row>
    <row r="69" spans="1:10">
      <c r="A69">
        <v>54</v>
      </c>
      <c r="B69">
        <v>2</v>
      </c>
      <c r="C69">
        <v>76</v>
      </c>
      <c r="D69" t="s">
        <v>108</v>
      </c>
      <c r="E69" t="s">
        <v>109</v>
      </c>
      <c r="F69">
        <f>'A-Demande-Ind-lait'!O$22/4</f>
        <v>19127819.54887218</v>
      </c>
      <c r="G69">
        <f>'A-Demande-Ind-lait'!P$22/4</f>
        <v>5639097.7443609023</v>
      </c>
      <c r="H69">
        <f>'A-Demande-Ind-lait'!Q$22/4</f>
        <v>10401002.506265663</v>
      </c>
      <c r="I69">
        <f>'A-Demande-Ind-lait'!R$22/4</f>
        <v>7368421.0526315784</v>
      </c>
      <c r="J69">
        <f>'A-Demande-Ind-lait'!S$22/4</f>
        <v>42536.340852130321</v>
      </c>
    </row>
    <row r="70" spans="1:10">
      <c r="A70">
        <v>65</v>
      </c>
      <c r="B70">
        <v>2</v>
      </c>
      <c r="C70">
        <v>76</v>
      </c>
      <c r="D70" t="s">
        <v>130</v>
      </c>
      <c r="E70" t="s">
        <v>131</v>
      </c>
      <c r="F70">
        <f>'A-Demande-Ind-lait'!O$22/4</f>
        <v>19127819.54887218</v>
      </c>
      <c r="G70">
        <f>'A-Demande-Ind-lait'!P$22/4</f>
        <v>5639097.7443609023</v>
      </c>
      <c r="H70">
        <f>'A-Demande-Ind-lait'!Q$22/4</f>
        <v>10401002.506265663</v>
      </c>
      <c r="I70">
        <f>'A-Demande-Ind-lait'!R$22/4</f>
        <v>7368421.0526315784</v>
      </c>
      <c r="J70">
        <f>'A-Demande-Ind-lait'!S$22/4</f>
        <v>42536.340852130321</v>
      </c>
    </row>
    <row r="71" spans="1:10">
      <c r="A71">
        <v>2</v>
      </c>
      <c r="B71">
        <v>3</v>
      </c>
      <c r="C71">
        <v>76</v>
      </c>
      <c r="D71" t="s">
        <v>4</v>
      </c>
      <c r="E71" t="s">
        <v>5</v>
      </c>
      <c r="F71">
        <f>'A-Demande-Ind-lait'!O$23/5</f>
        <v>7651127.8195488723</v>
      </c>
      <c r="G71">
        <f>'A-Demande-Ind-lait'!P$23/5</f>
        <v>2255639.097744361</v>
      </c>
      <c r="H71">
        <f>'A-Demande-Ind-lait'!Q$23/5</f>
        <v>4160401.002506265</v>
      </c>
      <c r="I71">
        <f>'A-Demande-Ind-lait'!R$23/5</f>
        <v>2947368.4210526315</v>
      </c>
      <c r="J71">
        <f>'A-Demande-Ind-lait'!S$23/5</f>
        <v>17014.53634085213</v>
      </c>
    </row>
    <row r="72" spans="1:10">
      <c r="A72">
        <v>43</v>
      </c>
      <c r="B72">
        <v>3</v>
      </c>
      <c r="C72">
        <v>76</v>
      </c>
      <c r="D72" t="s">
        <v>86</v>
      </c>
      <c r="E72" t="s">
        <v>87</v>
      </c>
      <c r="F72">
        <f>'A-Demande-Ind-lait'!O$23/5</f>
        <v>7651127.8195488723</v>
      </c>
      <c r="G72">
        <f>'A-Demande-Ind-lait'!P$23/5</f>
        <v>2255639.097744361</v>
      </c>
      <c r="H72">
        <f>'A-Demande-Ind-lait'!Q$23/5</f>
        <v>4160401.002506265</v>
      </c>
      <c r="I72">
        <f>'A-Demande-Ind-lait'!R$23/5</f>
        <v>2947368.4210526315</v>
      </c>
      <c r="J72">
        <f>'A-Demande-Ind-lait'!S$23/5</f>
        <v>17014.53634085213</v>
      </c>
    </row>
    <row r="73" spans="1:10">
      <c r="A73">
        <v>46</v>
      </c>
      <c r="B73">
        <v>3</v>
      </c>
      <c r="C73">
        <v>76</v>
      </c>
      <c r="D73" t="s">
        <v>92</v>
      </c>
      <c r="E73" t="s">
        <v>93</v>
      </c>
      <c r="F73">
        <f>'A-Demande-Ind-lait'!O$23/5</f>
        <v>7651127.8195488723</v>
      </c>
      <c r="G73">
        <f>'A-Demande-Ind-lait'!P$23/5</f>
        <v>2255639.097744361</v>
      </c>
      <c r="H73">
        <f>'A-Demande-Ind-lait'!Q$23/5</f>
        <v>4160401.002506265</v>
      </c>
      <c r="I73">
        <f>'A-Demande-Ind-lait'!R$23/5</f>
        <v>2947368.4210526315</v>
      </c>
      <c r="J73">
        <f>'A-Demande-Ind-lait'!S$23/5</f>
        <v>17014.53634085213</v>
      </c>
    </row>
    <row r="74" spans="1:10">
      <c r="A74">
        <v>68</v>
      </c>
      <c r="B74">
        <v>3</v>
      </c>
      <c r="C74">
        <v>76</v>
      </c>
      <c r="D74" t="s">
        <v>136</v>
      </c>
      <c r="E74" t="s">
        <v>137</v>
      </c>
      <c r="F74">
        <f>'A-Demande-Ind-lait'!O$23/5</f>
        <v>7651127.8195488723</v>
      </c>
      <c r="G74">
        <f>'A-Demande-Ind-lait'!P$23/5</f>
        <v>2255639.097744361</v>
      </c>
      <c r="H74">
        <f>'A-Demande-Ind-lait'!Q$23/5</f>
        <v>4160401.002506265</v>
      </c>
      <c r="I74">
        <f>'A-Demande-Ind-lait'!R$23/5</f>
        <v>2947368.4210526315</v>
      </c>
      <c r="J74">
        <f>'A-Demande-Ind-lait'!S$23/5</f>
        <v>17014.53634085213</v>
      </c>
    </row>
    <row r="75" spans="1:10">
      <c r="A75">
        <v>69</v>
      </c>
      <c r="B75">
        <v>3</v>
      </c>
      <c r="C75">
        <v>76</v>
      </c>
      <c r="D75" t="s">
        <v>138</v>
      </c>
      <c r="E75" t="s">
        <v>139</v>
      </c>
      <c r="F75">
        <f>'A-Demande-Ind-lait'!O$23/5</f>
        <v>7651127.8195488723</v>
      </c>
      <c r="G75">
        <f>'A-Demande-Ind-lait'!P$23/5</f>
        <v>2255639.097744361</v>
      </c>
      <c r="H75">
        <f>'A-Demande-Ind-lait'!Q$23/5</f>
        <v>4160401.002506265</v>
      </c>
      <c r="I75">
        <f>'A-Demande-Ind-lait'!R$23/5</f>
        <v>2947368.4210526315</v>
      </c>
      <c r="J75">
        <f>'A-Demande-Ind-lait'!S$23/5</f>
        <v>17014.53634085213</v>
      </c>
    </row>
    <row r="76" spans="1:10">
      <c r="F76">
        <f>SUM(Tableau11[UVC yaourt])</f>
        <v>1272000000</v>
      </c>
      <c r="G76">
        <f>SUM(Tableau11[[UVC crème ]])</f>
        <v>375000000.00000036</v>
      </c>
      <c r="H76">
        <f>SUM(Tableau11[UVC Ffrais 360g])</f>
        <v>691666666.66666663</v>
      </c>
      <c r="I76">
        <f>SUM(Tableau11[UVC fromage])</f>
        <v>489999999.99999988</v>
      </c>
      <c r="J76">
        <f>SUM(Tableau11[[KUVC total ]])</f>
        <v>2828666.666666666</v>
      </c>
    </row>
  </sheetData>
  <sheetProtection sheet="1" objects="1" scenarios="1"/>
  <sortState xmlns:xlrd2="http://schemas.microsoft.com/office/spreadsheetml/2017/richdata2" ref="A5:AE75">
    <sortCondition ref="A5:A75"/>
  </sortState>
  <mergeCells count="7">
    <mergeCell ref="M3:X3"/>
    <mergeCell ref="Z3:AF3"/>
    <mergeCell ref="Z12:AF12"/>
    <mergeCell ref="A3:C3"/>
    <mergeCell ref="D3:E3"/>
    <mergeCell ref="F3:J3"/>
    <mergeCell ref="M12:S12"/>
  </mergeCells>
  <pageMargins left="0.7" right="0.7" top="0.75" bottom="0.75" header="0.3" footer="0.3"/>
  <pageSetup paperSize="9"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C6646-63FC-4EA3-9E24-D5ED00CDED9D}">
  <sheetPr codeName="Feuil11"/>
  <dimension ref="A1:U76"/>
  <sheetViews>
    <sheetView zoomScale="55" zoomScaleNormal="55" workbookViewId="0">
      <selection activeCell="F5" sqref="F5"/>
    </sheetView>
  </sheetViews>
  <sheetFormatPr baseColWidth="10" defaultRowHeight="15.75"/>
  <cols>
    <col min="2" max="2" width="15.375" customWidth="1"/>
    <col min="3" max="3" width="13.25" customWidth="1"/>
    <col min="6" max="6" width="18.25" customWidth="1"/>
    <col min="7" max="9" width="20.25" customWidth="1"/>
    <col min="10" max="10" width="24.125" customWidth="1"/>
    <col min="11" max="11" width="25.375" customWidth="1"/>
    <col min="12" max="12" width="35.125" customWidth="1"/>
  </cols>
  <sheetData>
    <row r="1" spans="1:21">
      <c r="D1" s="85" t="s">
        <v>656</v>
      </c>
    </row>
    <row r="3" spans="1:21" ht="15.75" customHeight="1">
      <c r="A3" s="134" t="s">
        <v>647</v>
      </c>
      <c r="B3" s="134"/>
      <c r="C3" s="134"/>
      <c r="D3" s="134" t="s">
        <v>153</v>
      </c>
      <c r="E3" s="134"/>
      <c r="F3" s="132" t="s">
        <v>663</v>
      </c>
      <c r="G3" s="133"/>
      <c r="H3" s="133"/>
      <c r="I3" s="133"/>
      <c r="J3" s="133"/>
      <c r="K3" s="133"/>
      <c r="L3" s="133"/>
      <c r="O3" s="142" t="s">
        <v>497</v>
      </c>
      <c r="P3" s="142"/>
      <c r="Q3" s="142"/>
      <c r="R3" s="142"/>
      <c r="S3" s="142"/>
      <c r="T3" s="142"/>
      <c r="U3" s="142"/>
    </row>
    <row r="4" spans="1:21" ht="24" customHeight="1">
      <c r="A4" t="s">
        <v>152</v>
      </c>
      <c r="B4" t="s">
        <v>144</v>
      </c>
      <c r="C4" t="s">
        <v>145</v>
      </c>
      <c r="D4" t="s">
        <v>0</v>
      </c>
      <c r="E4" t="s">
        <v>1</v>
      </c>
      <c r="F4" s="53" t="s">
        <v>485</v>
      </c>
      <c r="G4" s="53" t="s">
        <v>287</v>
      </c>
      <c r="H4" s="53" t="s">
        <v>286</v>
      </c>
      <c r="I4" s="53" t="s">
        <v>285</v>
      </c>
      <c r="J4" s="53" t="s">
        <v>213</v>
      </c>
      <c r="K4" s="53" t="s">
        <v>212</v>
      </c>
      <c r="L4" s="53" t="s">
        <v>483</v>
      </c>
      <c r="O4" s="35"/>
      <c r="P4" s="35" t="s">
        <v>496</v>
      </c>
      <c r="Q4" s="35" t="s">
        <v>495</v>
      </c>
      <c r="R4" s="35" t="s">
        <v>494</v>
      </c>
      <c r="S4" s="35" t="s">
        <v>493</v>
      </c>
      <c r="T4" s="35" t="s">
        <v>492</v>
      </c>
      <c r="U4" s="35" t="s">
        <v>164</v>
      </c>
    </row>
    <row r="5" spans="1:21" ht="30">
      <c r="A5">
        <v>22</v>
      </c>
      <c r="B5">
        <v>1</v>
      </c>
      <c r="C5">
        <v>14</v>
      </c>
      <c r="D5" t="s">
        <v>44</v>
      </c>
      <c r="E5" t="s">
        <v>45</v>
      </c>
      <c r="F5">
        <f>'A-Demande-cidre'!O$7/3</f>
        <v>1587.5612627073303</v>
      </c>
      <c r="G5">
        <f>'A-Demande-cidre'!P$7/3</f>
        <v>1077.1278758694491</v>
      </c>
      <c r="H5">
        <f>'A-Demande-cidre'!Q$7/3</f>
        <v>25.521669341894064</v>
      </c>
      <c r="I5">
        <f>'A-Demande-cidre'!R$7/3</f>
        <v>30.626003210272874</v>
      </c>
      <c r="J5">
        <f>'A-Demande-cidre'!S$7/3</f>
        <v>34.199036918138042</v>
      </c>
      <c r="K5">
        <f>'A-Demande-cidre'!T$7/3</f>
        <v>88.397421080791887</v>
      </c>
      <c r="L5">
        <f>'A-Demande-cidre'!U$7/3</f>
        <v>158.75612627073303</v>
      </c>
      <c r="O5" s="77" t="s">
        <v>491</v>
      </c>
      <c r="P5" s="11">
        <v>500</v>
      </c>
      <c r="Q5" s="11">
        <v>40000</v>
      </c>
      <c r="R5" s="11">
        <v>3300</v>
      </c>
      <c r="S5" s="11">
        <v>500</v>
      </c>
      <c r="T5" s="11">
        <v>0</v>
      </c>
      <c r="U5" s="11">
        <v>44300</v>
      </c>
    </row>
    <row r="6" spans="1:21">
      <c r="A6">
        <v>36</v>
      </c>
      <c r="B6">
        <v>1</v>
      </c>
      <c r="C6">
        <v>14</v>
      </c>
      <c r="D6" t="s">
        <v>72</v>
      </c>
      <c r="E6" t="s">
        <v>73</v>
      </c>
      <c r="F6">
        <f>'A-Demande-cidre'!O$7/3</f>
        <v>1587.5612627073303</v>
      </c>
      <c r="G6">
        <f>'A-Demande-cidre'!P$7/3</f>
        <v>1077.1278758694491</v>
      </c>
      <c r="H6">
        <f>'A-Demande-cidre'!Q$7/3</f>
        <v>25.521669341894064</v>
      </c>
      <c r="I6">
        <f>'A-Demande-cidre'!R$7/3</f>
        <v>30.626003210272874</v>
      </c>
      <c r="J6">
        <f>'A-Demande-cidre'!S$7/3</f>
        <v>34.199036918138042</v>
      </c>
      <c r="K6">
        <f>'A-Demande-cidre'!T$7/3</f>
        <v>88.397421080791887</v>
      </c>
      <c r="L6">
        <f>'A-Demande-cidre'!U$7/3</f>
        <v>158.75612627073303</v>
      </c>
      <c r="O6" s="77" t="s">
        <v>490</v>
      </c>
      <c r="P6" s="11">
        <v>720</v>
      </c>
      <c r="Q6" s="11">
        <v>0</v>
      </c>
      <c r="R6" s="11">
        <v>0</v>
      </c>
      <c r="S6" s="11">
        <v>0</v>
      </c>
      <c r="T6" s="11">
        <v>0</v>
      </c>
      <c r="U6" s="11">
        <v>720</v>
      </c>
    </row>
    <row r="7" spans="1:21">
      <c r="A7">
        <v>58</v>
      </c>
      <c r="B7">
        <v>1</v>
      </c>
      <c r="C7">
        <v>14</v>
      </c>
      <c r="D7" t="s">
        <v>116</v>
      </c>
      <c r="E7" t="s">
        <v>117</v>
      </c>
      <c r="F7">
        <f>'A-Demande-cidre'!O$7/3</f>
        <v>1587.5612627073303</v>
      </c>
      <c r="G7">
        <f>'A-Demande-cidre'!P$7/3</f>
        <v>1077.1278758694491</v>
      </c>
      <c r="H7">
        <f>'A-Demande-cidre'!Q$7/3</f>
        <v>25.521669341894064</v>
      </c>
      <c r="I7">
        <f>'A-Demande-cidre'!R$7/3</f>
        <v>30.626003210272874</v>
      </c>
      <c r="J7">
        <f>'A-Demande-cidre'!S$7/3</f>
        <v>34.199036918138042</v>
      </c>
      <c r="K7">
        <f>'A-Demande-cidre'!T$7/3</f>
        <v>88.397421080791887</v>
      </c>
      <c r="L7">
        <f>'A-Demande-cidre'!U$7/3</f>
        <v>158.75612627073303</v>
      </c>
      <c r="O7" s="76" t="s">
        <v>181</v>
      </c>
      <c r="P7" s="11">
        <v>5500</v>
      </c>
      <c r="Q7" s="11">
        <v>0</v>
      </c>
      <c r="R7" s="11">
        <v>0</v>
      </c>
      <c r="S7" s="11">
        <v>0</v>
      </c>
      <c r="T7" s="11">
        <v>0</v>
      </c>
      <c r="U7" s="11">
        <v>5500</v>
      </c>
    </row>
    <row r="8" spans="1:21">
      <c r="A8">
        <v>12</v>
      </c>
      <c r="B8">
        <v>2</v>
      </c>
      <c r="C8">
        <v>14</v>
      </c>
      <c r="D8" t="s">
        <v>24</v>
      </c>
      <c r="E8" t="s">
        <v>25</v>
      </c>
      <c r="F8">
        <f>'A-Demande-cidre'!O$8/6</f>
        <v>748.84965222043877</v>
      </c>
      <c r="G8">
        <f>'A-Demande-cidre'!P$8/6</f>
        <v>508.07918673087215</v>
      </c>
      <c r="H8">
        <f>'A-Demande-cidre'!Q$8/6</f>
        <v>12.038523274478335</v>
      </c>
      <c r="I8">
        <f>'A-Demande-cidre'!R$8/6</f>
        <v>14.446227929373999</v>
      </c>
      <c r="J8">
        <f>'A-Demande-cidre'!S$8/6</f>
        <v>16.131621187800967</v>
      </c>
      <c r="K8">
        <f>'A-Demande-cidre'!T$8/6</f>
        <v>41.696896736222584</v>
      </c>
      <c r="L8">
        <f>'A-Demande-cidre'!U$8/6</f>
        <v>74.884965222043888</v>
      </c>
      <c r="O8" s="76" t="s">
        <v>489</v>
      </c>
      <c r="P8" s="11">
        <v>24000</v>
      </c>
      <c r="Q8" s="11">
        <v>1200.0000000000002</v>
      </c>
      <c r="R8" s="11">
        <v>0</v>
      </c>
      <c r="S8" s="11">
        <v>240</v>
      </c>
      <c r="T8" s="11">
        <v>8</v>
      </c>
      <c r="U8" s="11">
        <v>25448</v>
      </c>
    </row>
    <row r="9" spans="1:21">
      <c r="A9">
        <v>13</v>
      </c>
      <c r="B9">
        <v>2</v>
      </c>
      <c r="C9">
        <v>14</v>
      </c>
      <c r="D9" t="s">
        <v>26</v>
      </c>
      <c r="E9" t="s">
        <v>27</v>
      </c>
      <c r="F9">
        <f>'A-Demande-cidre'!O$8/6</f>
        <v>748.84965222043877</v>
      </c>
      <c r="G9">
        <f>'A-Demande-cidre'!P$8/6</f>
        <v>508.07918673087215</v>
      </c>
      <c r="H9">
        <f>'A-Demande-cidre'!Q$8/6</f>
        <v>12.038523274478335</v>
      </c>
      <c r="I9">
        <f>'A-Demande-cidre'!R$8/6</f>
        <v>14.446227929373999</v>
      </c>
      <c r="J9">
        <f>'A-Demande-cidre'!S$8/6</f>
        <v>16.131621187800967</v>
      </c>
      <c r="K9">
        <f>'A-Demande-cidre'!T$8/6</f>
        <v>41.696896736222584</v>
      </c>
      <c r="L9">
        <f>'A-Demande-cidre'!U$8/6</f>
        <v>74.884965222043888</v>
      </c>
      <c r="O9" s="76" t="s">
        <v>488</v>
      </c>
      <c r="P9" s="75">
        <v>36000.000000000007</v>
      </c>
      <c r="Q9" s="74" t="s">
        <v>487</v>
      </c>
      <c r="R9" s="74" t="s">
        <v>487</v>
      </c>
      <c r="S9" s="74" t="s">
        <v>487</v>
      </c>
      <c r="T9" s="74" t="s">
        <v>487</v>
      </c>
      <c r="U9" s="11">
        <v>36000.000000000007</v>
      </c>
    </row>
    <row r="10" spans="1:21">
      <c r="A10">
        <v>20</v>
      </c>
      <c r="B10">
        <v>2</v>
      </c>
      <c r="C10">
        <v>14</v>
      </c>
      <c r="D10" t="s">
        <v>40</v>
      </c>
      <c r="E10" t="s">
        <v>41</v>
      </c>
      <c r="F10">
        <f>'A-Demande-cidre'!O$8/6</f>
        <v>748.84965222043877</v>
      </c>
      <c r="G10">
        <f>'A-Demande-cidre'!P$8/6</f>
        <v>508.07918673087215</v>
      </c>
      <c r="H10">
        <f>'A-Demande-cidre'!Q$8/6</f>
        <v>12.038523274478335</v>
      </c>
      <c r="I10">
        <f>'A-Demande-cidre'!R$8/6</f>
        <v>14.446227929373999</v>
      </c>
      <c r="J10">
        <f>'A-Demande-cidre'!S$8/6</f>
        <v>16.131621187800967</v>
      </c>
      <c r="K10">
        <f>'A-Demande-cidre'!T$8/6</f>
        <v>41.696896736222584</v>
      </c>
      <c r="L10">
        <f>'A-Demande-cidre'!U$8/6</f>
        <v>74.884965222043888</v>
      </c>
      <c r="O10" s="8" t="s">
        <v>154</v>
      </c>
      <c r="P10" s="8">
        <v>66720</v>
      </c>
      <c r="Q10" s="8">
        <v>41200</v>
      </c>
      <c r="R10" s="8">
        <v>3300</v>
      </c>
      <c r="S10" s="8">
        <v>740</v>
      </c>
      <c r="T10" s="8">
        <v>8</v>
      </c>
      <c r="U10" s="9">
        <v>111968</v>
      </c>
    </row>
    <row r="11" spans="1:21">
      <c r="A11">
        <v>21</v>
      </c>
      <c r="B11">
        <v>2</v>
      </c>
      <c r="C11">
        <v>14</v>
      </c>
      <c r="D11" t="s">
        <v>42</v>
      </c>
      <c r="E11" t="s">
        <v>43</v>
      </c>
      <c r="F11">
        <f>'A-Demande-cidre'!O$8/6</f>
        <v>748.84965222043877</v>
      </c>
      <c r="G11">
        <f>'A-Demande-cidre'!P$8/6</f>
        <v>508.07918673087215</v>
      </c>
      <c r="H11">
        <f>'A-Demande-cidre'!Q$8/6</f>
        <v>12.038523274478335</v>
      </c>
      <c r="I11">
        <f>'A-Demande-cidre'!R$8/6</f>
        <v>14.446227929373999</v>
      </c>
      <c r="J11">
        <f>'A-Demande-cidre'!S$8/6</f>
        <v>16.131621187800967</v>
      </c>
      <c r="K11">
        <f>'A-Demande-cidre'!T$8/6</f>
        <v>41.696896736222584</v>
      </c>
      <c r="L11">
        <f>'A-Demande-cidre'!U$8/6</f>
        <v>74.884965222043888</v>
      </c>
      <c r="O11" s="8" t="s">
        <v>486</v>
      </c>
      <c r="P11" s="8">
        <v>30720</v>
      </c>
      <c r="Q11" s="8">
        <v>41200</v>
      </c>
      <c r="R11" s="8">
        <v>3300</v>
      </c>
      <c r="S11" s="8">
        <v>740</v>
      </c>
      <c r="T11" s="8">
        <v>8</v>
      </c>
      <c r="U11" s="8">
        <v>75968</v>
      </c>
    </row>
    <row r="12" spans="1:21">
      <c r="A12">
        <v>57</v>
      </c>
      <c r="B12">
        <v>2</v>
      </c>
      <c r="C12">
        <v>14</v>
      </c>
      <c r="D12" t="s">
        <v>114</v>
      </c>
      <c r="E12" t="s">
        <v>115</v>
      </c>
      <c r="F12">
        <f>'A-Demande-cidre'!O$8/6</f>
        <v>748.84965222043877</v>
      </c>
      <c r="G12">
        <f>'A-Demande-cidre'!P$8/6</f>
        <v>508.07918673087215</v>
      </c>
      <c r="H12">
        <f>'A-Demande-cidre'!Q$8/6</f>
        <v>12.038523274478335</v>
      </c>
      <c r="I12">
        <f>'A-Demande-cidre'!R$8/6</f>
        <v>14.446227929373999</v>
      </c>
      <c r="J12">
        <f>'A-Demande-cidre'!S$8/6</f>
        <v>16.131621187800967</v>
      </c>
      <c r="K12">
        <f>'A-Demande-cidre'!T$8/6</f>
        <v>41.696896736222584</v>
      </c>
      <c r="L12">
        <f>'A-Demande-cidre'!U$8/6</f>
        <v>74.884965222043888</v>
      </c>
    </row>
    <row r="13" spans="1:21">
      <c r="A13">
        <v>59</v>
      </c>
      <c r="B13">
        <v>2</v>
      </c>
      <c r="C13">
        <v>14</v>
      </c>
      <c r="D13" t="s">
        <v>118</v>
      </c>
      <c r="E13" t="s">
        <v>119</v>
      </c>
      <c r="F13">
        <f>'A-Demande-cidre'!O$8/6</f>
        <v>748.84965222043877</v>
      </c>
      <c r="G13">
        <f>'A-Demande-cidre'!P$8/6</f>
        <v>508.07918673087215</v>
      </c>
      <c r="H13">
        <f>'A-Demande-cidre'!Q$8/6</f>
        <v>12.038523274478335</v>
      </c>
      <c r="I13">
        <f>'A-Demande-cidre'!R$8/6</f>
        <v>14.446227929373999</v>
      </c>
      <c r="J13">
        <f>'A-Demande-cidre'!S$8/6</f>
        <v>16.131621187800967</v>
      </c>
      <c r="K13">
        <f>'A-Demande-cidre'!T$8/6</f>
        <v>41.696896736222584</v>
      </c>
      <c r="L13">
        <f>'A-Demande-cidre'!U$8/6</f>
        <v>74.884965222043888</v>
      </c>
    </row>
    <row r="14" spans="1:21">
      <c r="A14">
        <v>11</v>
      </c>
      <c r="B14">
        <v>3</v>
      </c>
      <c r="C14">
        <v>14</v>
      </c>
      <c r="D14" t="s">
        <v>22</v>
      </c>
      <c r="E14" t="s">
        <v>23</v>
      </c>
      <c r="F14">
        <f>'A-Demande-cidre'!O$9/5</f>
        <v>3486.6439807383626</v>
      </c>
      <c r="G14">
        <f>'A-Demande-cidre'!P$9/5</f>
        <v>2365.6166934189409</v>
      </c>
      <c r="H14">
        <f>'A-Demande-cidre'!Q$9/5</f>
        <v>56.051364365971097</v>
      </c>
      <c r="I14">
        <f>'A-Demande-cidre'!R$9/5</f>
        <v>67.26163723916531</v>
      </c>
      <c r="J14">
        <f>'A-Demande-cidre'!S$9/5</f>
        <v>75.108828250401274</v>
      </c>
      <c r="K14">
        <f>'A-Demande-cidre'!T$9/5</f>
        <v>194.14075120385232</v>
      </c>
      <c r="L14">
        <f>'A-Demande-cidre'!U$9/5</f>
        <v>348.66439807383631</v>
      </c>
    </row>
    <row r="15" spans="1:21">
      <c r="A15">
        <v>23</v>
      </c>
      <c r="B15">
        <v>3</v>
      </c>
      <c r="C15">
        <v>14</v>
      </c>
      <c r="D15" t="s">
        <v>46</v>
      </c>
      <c r="E15" t="s">
        <v>47</v>
      </c>
      <c r="F15">
        <f>'A-Demande-cidre'!O$9/5</f>
        <v>3486.6439807383626</v>
      </c>
      <c r="G15">
        <f>'A-Demande-cidre'!P$9/5</f>
        <v>2365.6166934189409</v>
      </c>
      <c r="H15">
        <f>'A-Demande-cidre'!Q$9/5</f>
        <v>56.051364365971097</v>
      </c>
      <c r="I15">
        <f>'A-Demande-cidre'!R$9/5</f>
        <v>67.26163723916531</v>
      </c>
      <c r="J15">
        <f>'A-Demande-cidre'!S$9/5</f>
        <v>75.108828250401274</v>
      </c>
      <c r="K15">
        <f>'A-Demande-cidre'!T$9/5</f>
        <v>194.14075120385232</v>
      </c>
      <c r="L15">
        <f>'A-Demande-cidre'!U$9/5</f>
        <v>348.66439807383631</v>
      </c>
    </row>
    <row r="16" spans="1:21">
      <c r="A16">
        <v>38</v>
      </c>
      <c r="B16">
        <v>3</v>
      </c>
      <c r="C16">
        <v>14</v>
      </c>
      <c r="D16" t="s">
        <v>76</v>
      </c>
      <c r="E16" t="s">
        <v>77</v>
      </c>
      <c r="F16">
        <f>'A-Demande-cidre'!O$9/5</f>
        <v>3486.6439807383626</v>
      </c>
      <c r="G16">
        <f>'A-Demande-cidre'!P$9/5</f>
        <v>2365.6166934189409</v>
      </c>
      <c r="H16">
        <f>'A-Demande-cidre'!Q$9/5</f>
        <v>56.051364365971097</v>
      </c>
      <c r="I16">
        <f>'A-Demande-cidre'!R$9/5</f>
        <v>67.26163723916531</v>
      </c>
      <c r="J16">
        <f>'A-Demande-cidre'!S$9/5</f>
        <v>75.108828250401274</v>
      </c>
      <c r="K16">
        <f>'A-Demande-cidre'!T$9/5</f>
        <v>194.14075120385232</v>
      </c>
      <c r="L16">
        <f>'A-Demande-cidre'!U$9/5</f>
        <v>348.66439807383631</v>
      </c>
    </row>
    <row r="17" spans="1:12">
      <c r="A17">
        <v>56</v>
      </c>
      <c r="B17">
        <v>3</v>
      </c>
      <c r="C17">
        <v>14</v>
      </c>
      <c r="D17" t="s">
        <v>112</v>
      </c>
      <c r="E17" t="s">
        <v>113</v>
      </c>
      <c r="F17">
        <f>'A-Demande-cidre'!O$9/5</f>
        <v>3486.6439807383626</v>
      </c>
      <c r="G17">
        <f>'A-Demande-cidre'!P$9/5</f>
        <v>2365.6166934189409</v>
      </c>
      <c r="H17">
        <f>'A-Demande-cidre'!Q$9/5</f>
        <v>56.051364365971097</v>
      </c>
      <c r="I17">
        <f>'A-Demande-cidre'!R$9/5</f>
        <v>67.26163723916531</v>
      </c>
      <c r="J17">
        <f>'A-Demande-cidre'!S$9/5</f>
        <v>75.108828250401274</v>
      </c>
      <c r="K17">
        <f>'A-Demande-cidre'!T$9/5</f>
        <v>194.14075120385232</v>
      </c>
      <c r="L17">
        <f>'A-Demande-cidre'!U$9/5</f>
        <v>348.66439807383631</v>
      </c>
    </row>
    <row r="18" spans="1:12">
      <c r="A18">
        <v>60</v>
      </c>
      <c r="B18">
        <v>3</v>
      </c>
      <c r="C18">
        <v>14</v>
      </c>
      <c r="D18" t="s">
        <v>120</v>
      </c>
      <c r="E18" t="s">
        <v>121</v>
      </c>
      <c r="F18">
        <f>'A-Demande-cidre'!O$9/5</f>
        <v>3486.6439807383626</v>
      </c>
      <c r="G18">
        <f>'A-Demande-cidre'!P$9/5</f>
        <v>2365.6166934189409</v>
      </c>
      <c r="H18">
        <f>'A-Demande-cidre'!Q$9/5</f>
        <v>56.051364365971097</v>
      </c>
      <c r="I18">
        <f>'A-Demande-cidre'!R$9/5</f>
        <v>67.26163723916531</v>
      </c>
      <c r="J18">
        <f>'A-Demande-cidre'!S$9/5</f>
        <v>75.108828250401274</v>
      </c>
      <c r="K18">
        <f>'A-Demande-cidre'!T$9/5</f>
        <v>194.14075120385232</v>
      </c>
      <c r="L18">
        <f>'A-Demande-cidre'!U$9/5</f>
        <v>348.66439807383631</v>
      </c>
    </row>
    <row r="19" spans="1:12">
      <c r="A19">
        <v>32</v>
      </c>
      <c r="B19">
        <v>4</v>
      </c>
      <c r="C19">
        <v>14</v>
      </c>
      <c r="D19" t="s">
        <v>64</v>
      </c>
      <c r="E19" t="s">
        <v>65</v>
      </c>
      <c r="F19">
        <f>'A-Demande-cidre'!O$10/2</f>
        <v>2201.6179775280898</v>
      </c>
      <c r="G19">
        <f>'A-Demande-cidre'!P$10/2</f>
        <v>1493.7528089887639</v>
      </c>
      <c r="H19">
        <f>'A-Demande-cidre'!Q$10/2</f>
        <v>35.393258426966291</v>
      </c>
      <c r="I19">
        <f>'A-Demande-cidre'!R$10/2</f>
        <v>42.471910112359552</v>
      </c>
      <c r="J19">
        <f>'A-Demande-cidre'!S$10/2</f>
        <v>47.426966292134836</v>
      </c>
      <c r="K19">
        <f>'A-Demande-cidre'!T$10/2</f>
        <v>122.58887640449439</v>
      </c>
      <c r="L19">
        <f>'A-Demande-cidre'!U$10/2</f>
        <v>220.16179775280898</v>
      </c>
    </row>
    <row r="20" spans="1:12">
      <c r="A20">
        <v>37</v>
      </c>
      <c r="B20">
        <v>4</v>
      </c>
      <c r="C20">
        <v>14</v>
      </c>
      <c r="D20" t="s">
        <v>74</v>
      </c>
      <c r="E20" t="s">
        <v>75</v>
      </c>
      <c r="F20">
        <f>'A-Demande-cidre'!O$10/2</f>
        <v>2201.6179775280898</v>
      </c>
      <c r="G20">
        <f>'A-Demande-cidre'!P$10/2</f>
        <v>1493.7528089887639</v>
      </c>
      <c r="H20">
        <f>'A-Demande-cidre'!Q$10/2</f>
        <v>35.393258426966291</v>
      </c>
      <c r="I20">
        <f>'A-Demande-cidre'!R$10/2</f>
        <v>42.471910112359552</v>
      </c>
      <c r="J20">
        <f>'A-Demande-cidre'!S$10/2</f>
        <v>47.426966292134836</v>
      </c>
      <c r="K20">
        <f>'A-Demande-cidre'!T$10/2</f>
        <v>122.58887640449439</v>
      </c>
      <c r="L20">
        <f>'A-Demande-cidre'!U$10/2</f>
        <v>220.16179775280898</v>
      </c>
    </row>
    <row r="21" spans="1:12">
      <c r="A21">
        <v>45</v>
      </c>
      <c r="B21">
        <v>1</v>
      </c>
      <c r="C21">
        <v>27</v>
      </c>
      <c r="D21" t="s">
        <v>90</v>
      </c>
      <c r="E21" t="s">
        <v>91</v>
      </c>
      <c r="F21">
        <f>'A-Demande-cidre'!O$11/4</f>
        <v>359.44783306581058</v>
      </c>
      <c r="G21">
        <f>'A-Demande-cidre'!P$11/4</f>
        <v>243.87800963081861</v>
      </c>
      <c r="H21">
        <f>'A-Demande-cidre'!Q$11/4</f>
        <v>5.7784911717495993</v>
      </c>
      <c r="I21">
        <f>'A-Demande-cidre'!R$11/4</f>
        <v>6.9341894060995184</v>
      </c>
      <c r="J21">
        <f>'A-Demande-cidre'!S$11/4</f>
        <v>7.7431781701444624</v>
      </c>
      <c r="K21">
        <f>'A-Demande-cidre'!T$11/4</f>
        <v>20.014510433386839</v>
      </c>
      <c r="L21">
        <f>'A-Demande-cidre'!U$11/4</f>
        <v>35.944783306581058</v>
      </c>
    </row>
    <row r="22" spans="1:12">
      <c r="A22">
        <v>51</v>
      </c>
      <c r="B22">
        <v>1</v>
      </c>
      <c r="C22">
        <v>27</v>
      </c>
      <c r="D22" t="s">
        <v>102</v>
      </c>
      <c r="E22" t="s">
        <v>103</v>
      </c>
      <c r="F22">
        <f>'A-Demande-cidre'!O$11/4</f>
        <v>359.44783306581058</v>
      </c>
      <c r="G22">
        <f>'A-Demande-cidre'!P$11/4</f>
        <v>243.87800963081861</v>
      </c>
      <c r="H22">
        <f>'A-Demande-cidre'!Q$11/4</f>
        <v>5.7784911717495993</v>
      </c>
      <c r="I22">
        <f>'A-Demande-cidre'!R$11/4</f>
        <v>6.9341894060995184</v>
      </c>
      <c r="J22">
        <f>'A-Demande-cidre'!S$11/4</f>
        <v>7.7431781701444624</v>
      </c>
      <c r="K22">
        <f>'A-Demande-cidre'!T$11/4</f>
        <v>20.014510433386839</v>
      </c>
      <c r="L22">
        <f>'A-Demande-cidre'!U$11/4</f>
        <v>35.944783306581058</v>
      </c>
    </row>
    <row r="23" spans="1:12">
      <c r="A23">
        <v>52</v>
      </c>
      <c r="B23">
        <v>1</v>
      </c>
      <c r="C23">
        <v>27</v>
      </c>
      <c r="D23" t="s">
        <v>104</v>
      </c>
      <c r="E23" t="s">
        <v>105</v>
      </c>
      <c r="F23">
        <f>'A-Demande-cidre'!O$11/4</f>
        <v>359.44783306581058</v>
      </c>
      <c r="G23">
        <f>'A-Demande-cidre'!P$11/4</f>
        <v>243.87800963081861</v>
      </c>
      <c r="H23">
        <f>'A-Demande-cidre'!Q$11/4</f>
        <v>5.7784911717495993</v>
      </c>
      <c r="I23">
        <f>'A-Demande-cidre'!R$11/4</f>
        <v>6.9341894060995184</v>
      </c>
      <c r="J23">
        <f>'A-Demande-cidre'!S$11/4</f>
        <v>7.7431781701444624</v>
      </c>
      <c r="K23">
        <f>'A-Demande-cidre'!T$11/4</f>
        <v>20.014510433386839</v>
      </c>
      <c r="L23">
        <f>'A-Demande-cidre'!U$11/4</f>
        <v>35.944783306581058</v>
      </c>
    </row>
    <row r="24" spans="1:12">
      <c r="A24">
        <v>55</v>
      </c>
      <c r="B24">
        <v>1</v>
      </c>
      <c r="C24">
        <v>27</v>
      </c>
      <c r="D24" t="s">
        <v>110</v>
      </c>
      <c r="E24" t="s">
        <v>111</v>
      </c>
      <c r="F24">
        <f>'A-Demande-cidre'!O$11/4</f>
        <v>359.44783306581058</v>
      </c>
      <c r="G24">
        <f>'A-Demande-cidre'!P$11/4</f>
        <v>243.87800963081861</v>
      </c>
      <c r="H24">
        <f>'A-Demande-cidre'!Q$11/4</f>
        <v>5.7784911717495993</v>
      </c>
      <c r="I24">
        <f>'A-Demande-cidre'!R$11/4</f>
        <v>6.9341894060995184</v>
      </c>
      <c r="J24">
        <f>'A-Demande-cidre'!S$11/4</f>
        <v>7.7431781701444624</v>
      </c>
      <c r="K24">
        <f>'A-Demande-cidre'!T$11/4</f>
        <v>20.014510433386839</v>
      </c>
      <c r="L24">
        <f>'A-Demande-cidre'!U$11/4</f>
        <v>35.944783306581058</v>
      </c>
    </row>
    <row r="25" spans="1:12">
      <c r="A25">
        <v>14</v>
      </c>
      <c r="B25">
        <v>2</v>
      </c>
      <c r="C25">
        <v>27</v>
      </c>
      <c r="D25" t="s">
        <v>28</v>
      </c>
      <c r="E25" t="s">
        <v>29</v>
      </c>
      <c r="F25">
        <f>'A-Demande-cidre'!O$12/6</f>
        <v>1332.952380952381</v>
      </c>
      <c r="G25">
        <f>'A-Demande-cidre'!P$12/6</f>
        <v>904.38095238095229</v>
      </c>
      <c r="H25">
        <f>'A-Demande-cidre'!Q$12/6</f>
        <v>21.428571428571431</v>
      </c>
      <c r="I25">
        <f>'A-Demande-cidre'!R$12/6</f>
        <v>25.714285714285712</v>
      </c>
      <c r="J25">
        <f>'A-Demande-cidre'!S$12/6</f>
        <v>28.714285714285719</v>
      </c>
      <c r="K25">
        <f>'A-Demande-cidre'!T$12/6</f>
        <v>74.220476190476191</v>
      </c>
      <c r="L25">
        <f>'A-Demande-cidre'!U$12/6</f>
        <v>133.29523809523809</v>
      </c>
    </row>
    <row r="26" spans="1:12">
      <c r="A26">
        <v>15</v>
      </c>
      <c r="B26">
        <v>2</v>
      </c>
      <c r="C26">
        <v>27</v>
      </c>
      <c r="D26" t="s">
        <v>30</v>
      </c>
      <c r="E26" t="s">
        <v>31</v>
      </c>
      <c r="F26">
        <f>'A-Demande-cidre'!O$12/6</f>
        <v>1332.952380952381</v>
      </c>
      <c r="G26">
        <f>'A-Demande-cidre'!P$12/6</f>
        <v>904.38095238095229</v>
      </c>
      <c r="H26">
        <f>'A-Demande-cidre'!Q$12/6</f>
        <v>21.428571428571431</v>
      </c>
      <c r="I26">
        <f>'A-Demande-cidre'!R$12/6</f>
        <v>25.714285714285712</v>
      </c>
      <c r="J26">
        <f>'A-Demande-cidre'!S$12/6</f>
        <v>28.714285714285719</v>
      </c>
      <c r="K26">
        <f>'A-Demande-cidre'!T$12/6</f>
        <v>74.220476190476191</v>
      </c>
      <c r="L26">
        <f>'A-Demande-cidre'!U$12/6</f>
        <v>133.29523809523809</v>
      </c>
    </row>
    <row r="27" spans="1:12">
      <c r="A27">
        <v>17</v>
      </c>
      <c r="B27">
        <v>2</v>
      </c>
      <c r="C27">
        <v>27</v>
      </c>
      <c r="D27" t="s">
        <v>34</v>
      </c>
      <c r="E27" t="s">
        <v>35</v>
      </c>
      <c r="F27">
        <f>'A-Demande-cidre'!O$12/6</f>
        <v>1332.952380952381</v>
      </c>
      <c r="G27">
        <f>'A-Demande-cidre'!P$12/6</f>
        <v>904.38095238095229</v>
      </c>
      <c r="H27">
        <f>'A-Demande-cidre'!Q$12/6</f>
        <v>21.428571428571431</v>
      </c>
      <c r="I27">
        <f>'A-Demande-cidre'!R$12/6</f>
        <v>25.714285714285712</v>
      </c>
      <c r="J27">
        <f>'A-Demande-cidre'!S$12/6</f>
        <v>28.714285714285719</v>
      </c>
      <c r="K27">
        <f>'A-Demande-cidre'!T$12/6</f>
        <v>74.220476190476191</v>
      </c>
      <c r="L27">
        <f>'A-Demande-cidre'!U$12/6</f>
        <v>133.29523809523809</v>
      </c>
    </row>
    <row r="28" spans="1:12">
      <c r="A28">
        <v>18</v>
      </c>
      <c r="B28">
        <v>2</v>
      </c>
      <c r="C28">
        <v>27</v>
      </c>
      <c r="D28" t="s">
        <v>36</v>
      </c>
      <c r="E28" t="s">
        <v>37</v>
      </c>
      <c r="F28">
        <f>'A-Demande-cidre'!O$12/6</f>
        <v>1332.952380952381</v>
      </c>
      <c r="G28">
        <f>'A-Demande-cidre'!P$12/6</f>
        <v>904.38095238095229</v>
      </c>
      <c r="H28">
        <f>'A-Demande-cidre'!Q$12/6</f>
        <v>21.428571428571431</v>
      </c>
      <c r="I28">
        <f>'A-Demande-cidre'!R$12/6</f>
        <v>25.714285714285712</v>
      </c>
      <c r="J28">
        <f>'A-Demande-cidre'!S$12/6</f>
        <v>28.714285714285719</v>
      </c>
      <c r="K28">
        <f>'A-Demande-cidre'!T$12/6</f>
        <v>74.220476190476191</v>
      </c>
      <c r="L28">
        <f>'A-Demande-cidre'!U$12/6</f>
        <v>133.29523809523809</v>
      </c>
    </row>
    <row r="29" spans="1:12">
      <c r="A29">
        <v>19</v>
      </c>
      <c r="B29">
        <v>2</v>
      </c>
      <c r="C29">
        <v>27</v>
      </c>
      <c r="D29" t="s">
        <v>38</v>
      </c>
      <c r="E29" t="s">
        <v>39</v>
      </c>
      <c r="F29">
        <f>'A-Demande-cidre'!O$12/6</f>
        <v>1332.952380952381</v>
      </c>
      <c r="G29">
        <f>'A-Demande-cidre'!P$12/6</f>
        <v>904.38095238095229</v>
      </c>
      <c r="H29">
        <f>'A-Demande-cidre'!Q$12/6</f>
        <v>21.428571428571431</v>
      </c>
      <c r="I29">
        <f>'A-Demande-cidre'!R$12/6</f>
        <v>25.714285714285712</v>
      </c>
      <c r="J29">
        <f>'A-Demande-cidre'!S$12/6</f>
        <v>28.714285714285719</v>
      </c>
      <c r="K29">
        <f>'A-Demande-cidre'!T$12/6</f>
        <v>74.220476190476191</v>
      </c>
      <c r="L29">
        <f>'A-Demande-cidre'!U$12/6</f>
        <v>133.29523809523809</v>
      </c>
    </row>
    <row r="30" spans="1:12">
      <c r="A30">
        <v>62</v>
      </c>
      <c r="B30">
        <v>2</v>
      </c>
      <c r="C30">
        <v>27</v>
      </c>
      <c r="D30" t="s">
        <v>124</v>
      </c>
      <c r="E30" t="s">
        <v>125</v>
      </c>
      <c r="F30">
        <f>'A-Demande-cidre'!O$12/6</f>
        <v>1332.952380952381</v>
      </c>
      <c r="G30">
        <f>'A-Demande-cidre'!P$12/6</f>
        <v>904.38095238095229</v>
      </c>
      <c r="H30">
        <f>'A-Demande-cidre'!Q$12/6</f>
        <v>21.428571428571431</v>
      </c>
      <c r="I30">
        <f>'A-Demande-cidre'!R$12/6</f>
        <v>25.714285714285712</v>
      </c>
      <c r="J30">
        <f>'A-Demande-cidre'!S$12/6</f>
        <v>28.714285714285719</v>
      </c>
      <c r="K30">
        <f>'A-Demande-cidre'!T$12/6</f>
        <v>74.220476190476191</v>
      </c>
      <c r="L30">
        <f>'A-Demande-cidre'!U$12/6</f>
        <v>133.29523809523809</v>
      </c>
    </row>
    <row r="31" spans="1:12">
      <c r="A31">
        <v>7</v>
      </c>
      <c r="B31">
        <v>3</v>
      </c>
      <c r="C31">
        <v>27</v>
      </c>
      <c r="D31" t="s">
        <v>14</v>
      </c>
      <c r="E31" t="s">
        <v>15</v>
      </c>
      <c r="F31">
        <f>'A-Demande-cidre'!O$13/3</f>
        <v>838.71161048689135</v>
      </c>
      <c r="G31">
        <f>'A-Demande-cidre'!P$13/3</f>
        <v>569.04868913857683</v>
      </c>
      <c r="H31">
        <f>'A-Demande-cidre'!Q$13/3</f>
        <v>13.483146067415726</v>
      </c>
      <c r="I31">
        <f>'A-Demande-cidre'!R$13/3</f>
        <v>16.17977528089887</v>
      </c>
      <c r="J31">
        <f>'A-Demande-cidre'!S$13/3</f>
        <v>18.067415730337071</v>
      </c>
      <c r="K31">
        <f>'A-Demande-cidre'!T$13/3</f>
        <v>46.700524344569288</v>
      </c>
      <c r="L31">
        <f>'A-Demande-cidre'!U$13/3</f>
        <v>83.871161048689132</v>
      </c>
    </row>
    <row r="32" spans="1:12">
      <c r="A32">
        <v>47</v>
      </c>
      <c r="B32">
        <v>3</v>
      </c>
      <c r="C32">
        <v>27</v>
      </c>
      <c r="D32" t="s">
        <v>94</v>
      </c>
      <c r="E32" t="s">
        <v>95</v>
      </c>
      <c r="F32">
        <f>'A-Demande-cidre'!O$13/3</f>
        <v>838.71161048689135</v>
      </c>
      <c r="G32">
        <f>'A-Demande-cidre'!P$13/3</f>
        <v>569.04868913857683</v>
      </c>
      <c r="H32">
        <f>'A-Demande-cidre'!Q$13/3</f>
        <v>13.483146067415726</v>
      </c>
      <c r="I32">
        <f>'A-Demande-cidre'!R$13/3</f>
        <v>16.17977528089887</v>
      </c>
      <c r="J32">
        <f>'A-Demande-cidre'!S$13/3</f>
        <v>18.067415730337071</v>
      </c>
      <c r="K32">
        <f>'A-Demande-cidre'!T$13/3</f>
        <v>46.700524344569288</v>
      </c>
      <c r="L32">
        <f>'A-Demande-cidre'!U$13/3</f>
        <v>83.871161048689132</v>
      </c>
    </row>
    <row r="33" spans="1:15">
      <c r="A33">
        <v>61</v>
      </c>
      <c r="B33">
        <v>3</v>
      </c>
      <c r="C33">
        <v>27</v>
      </c>
      <c r="D33" t="s">
        <v>122</v>
      </c>
      <c r="E33" t="s">
        <v>123</v>
      </c>
      <c r="F33">
        <f>'A-Demande-cidre'!O$13/3</f>
        <v>838.71161048689135</v>
      </c>
      <c r="G33">
        <f>'A-Demande-cidre'!P$13/3</f>
        <v>569.04868913857683</v>
      </c>
      <c r="H33">
        <f>'A-Demande-cidre'!Q$13/3</f>
        <v>13.483146067415726</v>
      </c>
      <c r="I33">
        <f>'A-Demande-cidre'!R$13/3</f>
        <v>16.17977528089887</v>
      </c>
      <c r="J33">
        <f>'A-Demande-cidre'!S$13/3</f>
        <v>18.067415730337071</v>
      </c>
      <c r="K33">
        <f>'A-Demande-cidre'!T$13/3</f>
        <v>46.700524344569288</v>
      </c>
      <c r="L33">
        <f>'A-Demande-cidre'!U$13/3</f>
        <v>83.871161048689132</v>
      </c>
    </row>
    <row r="34" spans="1:15">
      <c r="A34">
        <v>8</v>
      </c>
      <c r="B34">
        <v>1</v>
      </c>
      <c r="C34">
        <v>50</v>
      </c>
      <c r="D34" t="s">
        <v>16</v>
      </c>
      <c r="E34" t="s">
        <v>17</v>
      </c>
      <c r="F34">
        <f>'A-Demande-cidre'!O$14/2</f>
        <v>7773.0593900481535</v>
      </c>
      <c r="G34">
        <f>'A-Demande-cidre'!P$14/2</f>
        <v>5273.8619582664523</v>
      </c>
      <c r="H34">
        <f>'A-Demande-cidre'!Q$14/2</f>
        <v>124.95987158908507</v>
      </c>
      <c r="I34">
        <f>'A-Demande-cidre'!R$14/2</f>
        <v>149.95184590690207</v>
      </c>
      <c r="J34">
        <f>'A-Demande-cidre'!S$14/2</f>
        <v>167.446227929374</v>
      </c>
      <c r="K34">
        <f>'A-Demande-cidre'!T$14/2</f>
        <v>432.81378812199034</v>
      </c>
      <c r="L34">
        <f>'A-Demande-cidre'!U$14/2</f>
        <v>777.3059390048154</v>
      </c>
    </row>
    <row r="35" spans="1:15">
      <c r="A35">
        <v>34</v>
      </c>
      <c r="B35">
        <v>1</v>
      </c>
      <c r="C35">
        <v>50</v>
      </c>
      <c r="D35" t="s">
        <v>68</v>
      </c>
      <c r="E35" t="s">
        <v>69</v>
      </c>
      <c r="F35">
        <f>'A-Demande-cidre'!O$14/2</f>
        <v>7773.0593900481535</v>
      </c>
      <c r="G35">
        <f>'A-Demande-cidre'!P$14/2</f>
        <v>5273.8619582664523</v>
      </c>
      <c r="H35">
        <f>'A-Demande-cidre'!Q$14/2</f>
        <v>124.95987158908507</v>
      </c>
      <c r="I35">
        <f>'A-Demande-cidre'!R$14/2</f>
        <v>149.95184590690207</v>
      </c>
      <c r="J35">
        <f>'A-Demande-cidre'!S$14/2</f>
        <v>167.446227929374</v>
      </c>
      <c r="K35">
        <f>'A-Demande-cidre'!T$14/2</f>
        <v>432.81378812199034</v>
      </c>
      <c r="L35">
        <f>'A-Demande-cidre'!U$14/2</f>
        <v>777.3059390048154</v>
      </c>
    </row>
    <row r="36" spans="1:15">
      <c r="A36">
        <v>9</v>
      </c>
      <c r="B36">
        <v>2</v>
      </c>
      <c r="C36">
        <v>50</v>
      </c>
      <c r="D36" t="s">
        <v>18</v>
      </c>
      <c r="E36" t="s">
        <v>19</v>
      </c>
      <c r="F36">
        <f>'A-Demande-cidre'!O$15/2</f>
        <v>1707.3772070626003</v>
      </c>
      <c r="G36">
        <f>'A-Demande-cidre'!P$15/2</f>
        <v>1158.4205457463884</v>
      </c>
      <c r="H36">
        <f>'A-Demande-cidre'!Q$15/2</f>
        <v>27.447833065810599</v>
      </c>
      <c r="I36">
        <f>'A-Demande-cidre'!R$15/2</f>
        <v>32.937399678972717</v>
      </c>
      <c r="J36">
        <f>'A-Demande-cidre'!S$15/2</f>
        <v>36.780096308186202</v>
      </c>
      <c r="K36">
        <f>'A-Demande-cidre'!T$15/2</f>
        <v>95.068924558587483</v>
      </c>
      <c r="L36">
        <f>'A-Demande-cidre'!U$15/2</f>
        <v>170.73772070626003</v>
      </c>
    </row>
    <row r="37" spans="1:15">
      <c r="A37">
        <v>26</v>
      </c>
      <c r="B37">
        <v>2</v>
      </c>
      <c r="C37">
        <v>50</v>
      </c>
      <c r="D37" t="s">
        <v>52</v>
      </c>
      <c r="E37" t="s">
        <v>53</v>
      </c>
      <c r="F37">
        <f>'A-Demande-cidre'!O$15/2</f>
        <v>1707.3772070626003</v>
      </c>
      <c r="G37">
        <f>'A-Demande-cidre'!P$15/2</f>
        <v>1158.4205457463884</v>
      </c>
      <c r="H37">
        <f>'A-Demande-cidre'!Q$15/2</f>
        <v>27.447833065810599</v>
      </c>
      <c r="I37">
        <f>'A-Demande-cidre'!R$15/2</f>
        <v>32.937399678972717</v>
      </c>
      <c r="J37">
        <f>'A-Demande-cidre'!S$15/2</f>
        <v>36.780096308186202</v>
      </c>
      <c r="K37">
        <f>'A-Demande-cidre'!T$15/2</f>
        <v>95.068924558587483</v>
      </c>
      <c r="L37">
        <f>'A-Demande-cidre'!U$15/2</f>
        <v>170.73772070626003</v>
      </c>
    </row>
    <row r="38" spans="1:15">
      <c r="A38">
        <v>24</v>
      </c>
      <c r="B38">
        <v>3</v>
      </c>
      <c r="C38">
        <v>50</v>
      </c>
      <c r="D38" t="s">
        <v>48</v>
      </c>
      <c r="E38" t="s">
        <v>49</v>
      </c>
      <c r="F38">
        <f>'A-Demande-cidre'!O$16/2</f>
        <v>1797.2391653290529</v>
      </c>
      <c r="G38">
        <f>'A-Demande-cidre'!P$16/2</f>
        <v>1219.3900481540929</v>
      </c>
      <c r="H38">
        <f>'A-Demande-cidre'!Q$16/2</f>
        <v>28.892455858747997</v>
      </c>
      <c r="I38">
        <f>'A-Demande-cidre'!R$16/2</f>
        <v>34.670947030497594</v>
      </c>
      <c r="J38">
        <f>'A-Demande-cidre'!S$16/2</f>
        <v>38.715890850722317</v>
      </c>
      <c r="K38">
        <f>'A-Demande-cidre'!T$16/2</f>
        <v>100.0725521669342</v>
      </c>
      <c r="L38">
        <f>'A-Demande-cidre'!U$16/2</f>
        <v>179.72391653290529</v>
      </c>
    </row>
    <row r="39" spans="1:15">
      <c r="A39">
        <v>25</v>
      </c>
      <c r="B39">
        <v>3</v>
      </c>
      <c r="C39">
        <v>50</v>
      </c>
      <c r="D39" t="s">
        <v>50</v>
      </c>
      <c r="E39" t="s">
        <v>51</v>
      </c>
      <c r="F39">
        <f>'A-Demande-cidre'!O$16/2</f>
        <v>1797.2391653290529</v>
      </c>
      <c r="G39">
        <f>'A-Demande-cidre'!P$16/2</f>
        <v>1219.3900481540929</v>
      </c>
      <c r="H39">
        <f>'A-Demande-cidre'!Q$16/2</f>
        <v>28.892455858747997</v>
      </c>
      <c r="I39">
        <f>'A-Demande-cidre'!R$16/2</f>
        <v>34.670947030497594</v>
      </c>
      <c r="J39">
        <f>'A-Demande-cidre'!S$16/2</f>
        <v>38.715890850722317</v>
      </c>
      <c r="K39">
        <f>'A-Demande-cidre'!T$16/2</f>
        <v>100.0725521669342</v>
      </c>
      <c r="L39">
        <f>'A-Demande-cidre'!U$16/2</f>
        <v>179.72391653290529</v>
      </c>
    </row>
    <row r="40" spans="1:15">
      <c r="A40">
        <v>10</v>
      </c>
      <c r="B40">
        <v>4</v>
      </c>
      <c r="C40">
        <v>50</v>
      </c>
      <c r="D40" t="s">
        <v>20</v>
      </c>
      <c r="E40" t="s">
        <v>21</v>
      </c>
      <c r="F40">
        <f>'A-Demande-cidre'!O$17/2</f>
        <v>3100.2375601926165</v>
      </c>
      <c r="G40">
        <f>'A-Demande-cidre'!P$17/2</f>
        <v>2103.4478330658103</v>
      </c>
      <c r="H40">
        <f>'A-Demande-cidre'!Q$17/2</f>
        <v>49.839486356340309</v>
      </c>
      <c r="I40">
        <f>'A-Demande-cidre'!R$17/2</f>
        <v>59.807383627608367</v>
      </c>
      <c r="J40">
        <f>'A-Demande-cidre'!S$17/2</f>
        <v>66.784911717496016</v>
      </c>
      <c r="K40">
        <f>'A-Demande-cidre'!T$17/2</f>
        <v>172.62515248796149</v>
      </c>
      <c r="L40">
        <f>'A-Demande-cidre'!U$17/2</f>
        <v>310.02375601926167</v>
      </c>
      <c r="O40" s="5"/>
    </row>
    <row r="41" spans="1:15">
      <c r="A41">
        <v>16</v>
      </c>
      <c r="B41">
        <v>4</v>
      </c>
      <c r="C41">
        <v>50</v>
      </c>
      <c r="D41" t="s">
        <v>32</v>
      </c>
      <c r="E41" t="s">
        <v>33</v>
      </c>
      <c r="F41">
        <f>'A-Demande-cidre'!O$17/2</f>
        <v>3100.2375601926165</v>
      </c>
      <c r="G41">
        <f>'A-Demande-cidre'!P$17/2</f>
        <v>2103.4478330658103</v>
      </c>
      <c r="H41">
        <f>'A-Demande-cidre'!Q$17/2</f>
        <v>49.839486356340309</v>
      </c>
      <c r="I41">
        <f>'A-Demande-cidre'!R$17/2</f>
        <v>59.807383627608367</v>
      </c>
      <c r="J41">
        <f>'A-Demande-cidre'!S$17/2</f>
        <v>66.784911717496016</v>
      </c>
      <c r="K41">
        <f>'A-Demande-cidre'!T$17/2</f>
        <v>172.62515248796149</v>
      </c>
      <c r="L41">
        <f>'A-Demande-cidre'!U$17/2</f>
        <v>310.02375601926167</v>
      </c>
    </row>
    <row r="42" spans="1:15">
      <c r="A42">
        <v>3</v>
      </c>
      <c r="B42">
        <v>1</v>
      </c>
      <c r="C42">
        <v>61</v>
      </c>
      <c r="D42" t="s">
        <v>6</v>
      </c>
      <c r="E42" t="s">
        <v>7</v>
      </c>
      <c r="F42">
        <f>'A-Demande-cidre'!O$18/5</f>
        <v>2264.5213483146067</v>
      </c>
      <c r="G42">
        <f>'A-Demande-cidre'!P$18/5</f>
        <v>1536.4314606741573</v>
      </c>
      <c r="H42">
        <f>'A-Demande-cidre'!Q$18/5</f>
        <v>36.404494382022477</v>
      </c>
      <c r="I42">
        <f>'A-Demande-cidre'!R$18/5</f>
        <v>43.68539325842697</v>
      </c>
      <c r="J42">
        <f>'A-Demande-cidre'!S$18/5</f>
        <v>48.782022471910118</v>
      </c>
      <c r="K42">
        <f>'A-Demande-cidre'!T$18/5</f>
        <v>126.09141573033708</v>
      </c>
      <c r="L42">
        <f>'A-Demande-cidre'!U$18/5</f>
        <v>226.45213483146068</v>
      </c>
    </row>
    <row r="43" spans="1:15">
      <c r="A43">
        <v>4</v>
      </c>
      <c r="B43">
        <v>1</v>
      </c>
      <c r="C43">
        <v>61</v>
      </c>
      <c r="D43" t="s">
        <v>8</v>
      </c>
      <c r="E43" t="s">
        <v>9</v>
      </c>
      <c r="F43">
        <f>'A-Demande-cidre'!O$18/5</f>
        <v>2264.5213483146067</v>
      </c>
      <c r="G43">
        <f>'A-Demande-cidre'!P$18/5</f>
        <v>1536.4314606741573</v>
      </c>
      <c r="H43">
        <f>'A-Demande-cidre'!Q$18/5</f>
        <v>36.404494382022477</v>
      </c>
      <c r="I43">
        <f>'A-Demande-cidre'!R$18/5</f>
        <v>43.68539325842697</v>
      </c>
      <c r="J43">
        <f>'A-Demande-cidre'!S$18/5</f>
        <v>48.782022471910118</v>
      </c>
      <c r="K43">
        <f>'A-Demande-cidre'!T$18/5</f>
        <v>126.09141573033708</v>
      </c>
      <c r="L43">
        <f>'A-Demande-cidre'!U$18/5</f>
        <v>226.45213483146068</v>
      </c>
    </row>
    <row r="44" spans="1:15">
      <c r="A44">
        <v>28</v>
      </c>
      <c r="B44">
        <v>1</v>
      </c>
      <c r="C44">
        <v>61</v>
      </c>
      <c r="D44" t="s">
        <v>56</v>
      </c>
      <c r="E44" t="s">
        <v>57</v>
      </c>
      <c r="F44">
        <f>'A-Demande-cidre'!O$18/5</f>
        <v>2264.5213483146067</v>
      </c>
      <c r="G44">
        <f>'A-Demande-cidre'!P$18/5</f>
        <v>1536.4314606741573</v>
      </c>
      <c r="H44">
        <f>'A-Demande-cidre'!Q$18/5</f>
        <v>36.404494382022477</v>
      </c>
      <c r="I44">
        <f>'A-Demande-cidre'!R$18/5</f>
        <v>43.68539325842697</v>
      </c>
      <c r="J44">
        <f>'A-Demande-cidre'!S$18/5</f>
        <v>48.782022471910118</v>
      </c>
      <c r="K44">
        <f>'A-Demande-cidre'!T$18/5</f>
        <v>126.09141573033708</v>
      </c>
      <c r="L44">
        <f>'A-Demande-cidre'!U$18/5</f>
        <v>226.45213483146068</v>
      </c>
    </row>
    <row r="45" spans="1:15">
      <c r="A45">
        <v>50</v>
      </c>
      <c r="B45">
        <v>1</v>
      </c>
      <c r="C45">
        <v>61</v>
      </c>
      <c r="D45" t="s">
        <v>100</v>
      </c>
      <c r="E45" t="s">
        <v>101</v>
      </c>
      <c r="F45">
        <f>'A-Demande-cidre'!O$18/5</f>
        <v>2264.5213483146067</v>
      </c>
      <c r="G45">
        <f>'A-Demande-cidre'!P$18/5</f>
        <v>1536.4314606741573</v>
      </c>
      <c r="H45">
        <f>'A-Demande-cidre'!Q$18/5</f>
        <v>36.404494382022477</v>
      </c>
      <c r="I45">
        <f>'A-Demande-cidre'!R$18/5</f>
        <v>43.68539325842697</v>
      </c>
      <c r="J45">
        <f>'A-Demande-cidre'!S$18/5</f>
        <v>48.782022471910118</v>
      </c>
      <c r="K45">
        <f>'A-Demande-cidre'!T$18/5</f>
        <v>126.09141573033708</v>
      </c>
      <c r="L45">
        <f>'A-Demande-cidre'!U$18/5</f>
        <v>226.45213483146068</v>
      </c>
    </row>
    <row r="46" spans="1:15">
      <c r="A46">
        <v>64</v>
      </c>
      <c r="B46">
        <v>1</v>
      </c>
      <c r="C46">
        <v>61</v>
      </c>
      <c r="D46" t="s">
        <v>128</v>
      </c>
      <c r="E46" t="s">
        <v>129</v>
      </c>
      <c r="F46">
        <f>'A-Demande-cidre'!O$18/5</f>
        <v>2264.5213483146067</v>
      </c>
      <c r="G46">
        <f>'A-Demande-cidre'!P$18/5</f>
        <v>1536.4314606741573</v>
      </c>
      <c r="H46">
        <f>'A-Demande-cidre'!Q$18/5</f>
        <v>36.404494382022477</v>
      </c>
      <c r="I46">
        <f>'A-Demande-cidre'!R$18/5</f>
        <v>43.68539325842697</v>
      </c>
      <c r="J46">
        <f>'A-Demande-cidre'!S$18/5</f>
        <v>48.782022471910118</v>
      </c>
      <c r="K46">
        <f>'A-Demande-cidre'!T$18/5</f>
        <v>126.09141573033708</v>
      </c>
      <c r="L46">
        <f>'A-Demande-cidre'!U$18/5</f>
        <v>226.45213483146068</v>
      </c>
    </row>
    <row r="47" spans="1:15">
      <c r="A47">
        <v>5</v>
      </c>
      <c r="B47">
        <v>2</v>
      </c>
      <c r="C47">
        <v>61</v>
      </c>
      <c r="D47" t="s">
        <v>10</v>
      </c>
      <c r="E47" t="s">
        <v>11</v>
      </c>
      <c r="F47">
        <f>'A-Demande-cidre'!O$19/4</f>
        <v>2134.2215088282505</v>
      </c>
      <c r="G47">
        <f>'A-Demande-cidre'!P$19/4</f>
        <v>1448.0256821829855</v>
      </c>
      <c r="H47">
        <f>'A-Demande-cidre'!Q$19/4</f>
        <v>34.309791332263252</v>
      </c>
      <c r="I47">
        <f>'A-Demande-cidre'!R$19/4</f>
        <v>41.171749598715898</v>
      </c>
      <c r="J47">
        <f>'A-Demande-cidre'!S$19/4</f>
        <v>45.975120385232756</v>
      </c>
      <c r="K47">
        <f>'A-Demande-cidre'!T$19/4</f>
        <v>118.83615569823436</v>
      </c>
      <c r="L47">
        <f>'A-Demande-cidre'!U$19/4</f>
        <v>213.42215088282506</v>
      </c>
    </row>
    <row r="48" spans="1:15">
      <c r="A48">
        <v>29</v>
      </c>
      <c r="B48">
        <v>2</v>
      </c>
      <c r="C48">
        <v>61</v>
      </c>
      <c r="D48" t="s">
        <v>58</v>
      </c>
      <c r="E48" t="s">
        <v>59</v>
      </c>
      <c r="F48">
        <f>'A-Demande-cidre'!O$19/4</f>
        <v>2134.2215088282505</v>
      </c>
      <c r="G48">
        <f>'A-Demande-cidre'!P$19/4</f>
        <v>1448.0256821829855</v>
      </c>
      <c r="H48">
        <f>'A-Demande-cidre'!Q$19/4</f>
        <v>34.309791332263252</v>
      </c>
      <c r="I48">
        <f>'A-Demande-cidre'!R$19/4</f>
        <v>41.171749598715898</v>
      </c>
      <c r="J48">
        <f>'A-Demande-cidre'!S$19/4</f>
        <v>45.975120385232756</v>
      </c>
      <c r="K48">
        <f>'A-Demande-cidre'!T$19/4</f>
        <v>118.83615569823436</v>
      </c>
      <c r="L48">
        <f>'A-Demande-cidre'!U$19/4</f>
        <v>213.42215088282506</v>
      </c>
    </row>
    <row r="49" spans="1:15">
      <c r="A49">
        <v>49</v>
      </c>
      <c r="B49">
        <v>2</v>
      </c>
      <c r="C49">
        <v>61</v>
      </c>
      <c r="D49" t="s">
        <v>98</v>
      </c>
      <c r="E49" t="s">
        <v>99</v>
      </c>
      <c r="F49">
        <f>'A-Demande-cidre'!O$19/4</f>
        <v>2134.2215088282505</v>
      </c>
      <c r="G49">
        <f>'A-Demande-cidre'!P$19/4</f>
        <v>1448.0256821829855</v>
      </c>
      <c r="H49">
        <f>'A-Demande-cidre'!Q$19/4</f>
        <v>34.309791332263252</v>
      </c>
      <c r="I49">
        <f>'A-Demande-cidre'!R$19/4</f>
        <v>41.171749598715898</v>
      </c>
      <c r="J49">
        <f>'A-Demande-cidre'!S$19/4</f>
        <v>45.975120385232756</v>
      </c>
      <c r="K49">
        <f>'A-Demande-cidre'!T$19/4</f>
        <v>118.83615569823436</v>
      </c>
      <c r="L49">
        <f>'A-Demande-cidre'!U$19/4</f>
        <v>213.42215088282506</v>
      </c>
    </row>
    <row r="50" spans="1:15">
      <c r="A50">
        <v>63</v>
      </c>
      <c r="B50">
        <v>2</v>
      </c>
      <c r="C50">
        <v>61</v>
      </c>
      <c r="D50" t="s">
        <v>126</v>
      </c>
      <c r="E50" t="s">
        <v>127</v>
      </c>
      <c r="F50">
        <f>'A-Demande-cidre'!O$19/4</f>
        <v>2134.2215088282505</v>
      </c>
      <c r="G50">
        <f>'A-Demande-cidre'!P$19/4</f>
        <v>1448.0256821829855</v>
      </c>
      <c r="H50">
        <f>'A-Demande-cidre'!Q$19/4</f>
        <v>34.309791332263252</v>
      </c>
      <c r="I50">
        <f>'A-Demande-cidre'!R$19/4</f>
        <v>41.171749598715898</v>
      </c>
      <c r="J50">
        <f>'A-Demande-cidre'!S$19/4</f>
        <v>45.975120385232756</v>
      </c>
      <c r="K50">
        <f>'A-Demande-cidre'!T$19/4</f>
        <v>118.83615569823436</v>
      </c>
      <c r="L50">
        <f>'A-Demande-cidre'!U$19/4</f>
        <v>213.42215088282506</v>
      </c>
    </row>
    <row r="51" spans="1:15">
      <c r="A51">
        <v>6</v>
      </c>
      <c r="B51">
        <v>3</v>
      </c>
      <c r="C51">
        <v>61</v>
      </c>
      <c r="D51" t="s">
        <v>12</v>
      </c>
      <c r="E51" t="s">
        <v>13</v>
      </c>
      <c r="F51">
        <f>'A-Demande-cidre'!O$20/7</f>
        <v>1835.7514331575328</v>
      </c>
      <c r="G51">
        <f>'A-Demande-cidre'!P$20/7</f>
        <v>1245.5198349002524</v>
      </c>
      <c r="H51">
        <f>'A-Demande-cidre'!Q$20/7</f>
        <v>29.511579912864025</v>
      </c>
      <c r="I51">
        <f>'A-Demande-cidre'!R$20/7</f>
        <v>35.413895895436831</v>
      </c>
      <c r="J51">
        <f>'A-Demande-cidre'!S$20/7</f>
        <v>39.54551708323779</v>
      </c>
      <c r="K51">
        <f>'A-Demande-cidre'!T$20/7</f>
        <v>102.21696399908281</v>
      </c>
      <c r="L51">
        <f>'A-Demande-cidre'!U$20/7</f>
        <v>183.57514331575331</v>
      </c>
    </row>
    <row r="52" spans="1:15">
      <c r="A52">
        <v>27</v>
      </c>
      <c r="B52">
        <v>3</v>
      </c>
      <c r="C52">
        <v>61</v>
      </c>
      <c r="D52" t="s">
        <v>54</v>
      </c>
      <c r="E52" t="s">
        <v>55</v>
      </c>
      <c r="F52">
        <f>'A-Demande-cidre'!O$20/7</f>
        <v>1835.7514331575328</v>
      </c>
      <c r="G52">
        <f>'A-Demande-cidre'!P$20/7</f>
        <v>1245.5198349002524</v>
      </c>
      <c r="H52">
        <f>'A-Demande-cidre'!Q$20/7</f>
        <v>29.511579912864025</v>
      </c>
      <c r="I52">
        <f>'A-Demande-cidre'!R$20/7</f>
        <v>35.413895895436831</v>
      </c>
      <c r="J52">
        <f>'A-Demande-cidre'!S$20/7</f>
        <v>39.54551708323779</v>
      </c>
      <c r="K52">
        <f>'A-Demande-cidre'!T$20/7</f>
        <v>102.21696399908281</v>
      </c>
      <c r="L52">
        <f>'A-Demande-cidre'!U$20/7</f>
        <v>183.57514331575331</v>
      </c>
    </row>
    <row r="53" spans="1:15">
      <c r="A53">
        <v>30</v>
      </c>
      <c r="B53">
        <v>3</v>
      </c>
      <c r="C53">
        <v>61</v>
      </c>
      <c r="D53" t="s">
        <v>60</v>
      </c>
      <c r="E53" t="s">
        <v>61</v>
      </c>
      <c r="F53">
        <f>'A-Demande-cidre'!O$20/7</f>
        <v>1835.7514331575328</v>
      </c>
      <c r="G53">
        <f>'A-Demande-cidre'!P$20/7</f>
        <v>1245.5198349002524</v>
      </c>
      <c r="H53">
        <f>'A-Demande-cidre'!Q$20/7</f>
        <v>29.511579912864025</v>
      </c>
      <c r="I53">
        <f>'A-Demande-cidre'!R$20/7</f>
        <v>35.413895895436831</v>
      </c>
      <c r="J53">
        <f>'A-Demande-cidre'!S$20/7</f>
        <v>39.54551708323779</v>
      </c>
      <c r="K53">
        <f>'A-Demande-cidre'!T$20/7</f>
        <v>102.21696399908281</v>
      </c>
      <c r="L53">
        <f>'A-Demande-cidre'!U$20/7</f>
        <v>183.57514331575331</v>
      </c>
    </row>
    <row r="54" spans="1:15">
      <c r="A54">
        <v>33</v>
      </c>
      <c r="B54">
        <v>3</v>
      </c>
      <c r="C54">
        <v>61</v>
      </c>
      <c r="D54" t="s">
        <v>66</v>
      </c>
      <c r="E54" t="s">
        <v>67</v>
      </c>
      <c r="F54">
        <f>'A-Demande-cidre'!O$20/7</f>
        <v>1835.7514331575328</v>
      </c>
      <c r="G54">
        <f>'A-Demande-cidre'!P$20/7</f>
        <v>1245.5198349002524</v>
      </c>
      <c r="H54">
        <f>'A-Demande-cidre'!Q$20/7</f>
        <v>29.511579912864025</v>
      </c>
      <c r="I54">
        <f>'A-Demande-cidre'!R$20/7</f>
        <v>35.413895895436831</v>
      </c>
      <c r="J54">
        <f>'A-Demande-cidre'!S$20/7</f>
        <v>39.54551708323779</v>
      </c>
      <c r="K54">
        <f>'A-Demande-cidre'!T$20/7</f>
        <v>102.21696399908281</v>
      </c>
      <c r="L54">
        <f>'A-Demande-cidre'!U$20/7</f>
        <v>183.57514331575331</v>
      </c>
    </row>
    <row r="55" spans="1:15">
      <c r="A55">
        <v>35</v>
      </c>
      <c r="B55">
        <v>3</v>
      </c>
      <c r="C55">
        <v>61</v>
      </c>
      <c r="D55" t="s">
        <v>70</v>
      </c>
      <c r="E55" t="s">
        <v>71</v>
      </c>
      <c r="F55">
        <f>'A-Demande-cidre'!O$20/7</f>
        <v>1835.7514331575328</v>
      </c>
      <c r="G55">
        <f>'A-Demande-cidre'!P$20/7</f>
        <v>1245.5198349002524</v>
      </c>
      <c r="H55">
        <f>'A-Demande-cidre'!Q$20/7</f>
        <v>29.511579912864025</v>
      </c>
      <c r="I55">
        <f>'A-Demande-cidre'!R$20/7</f>
        <v>35.413895895436831</v>
      </c>
      <c r="J55">
        <f>'A-Demande-cidre'!S$20/7</f>
        <v>39.54551708323779</v>
      </c>
      <c r="K55">
        <f>'A-Demande-cidre'!T$20/7</f>
        <v>102.21696399908281</v>
      </c>
      <c r="L55">
        <f>'A-Demande-cidre'!U$20/7</f>
        <v>183.57514331575331</v>
      </c>
    </row>
    <row r="56" spans="1:15">
      <c r="A56">
        <v>48</v>
      </c>
      <c r="B56">
        <v>3</v>
      </c>
      <c r="C56">
        <v>61</v>
      </c>
      <c r="D56" t="s">
        <v>96</v>
      </c>
      <c r="E56" t="s">
        <v>97</v>
      </c>
      <c r="F56">
        <f>'A-Demande-cidre'!O$20/7</f>
        <v>1835.7514331575328</v>
      </c>
      <c r="G56">
        <f>'A-Demande-cidre'!P$20/7</f>
        <v>1245.5198349002524</v>
      </c>
      <c r="H56">
        <f>'A-Demande-cidre'!Q$20/7</f>
        <v>29.511579912864025</v>
      </c>
      <c r="I56">
        <f>'A-Demande-cidre'!R$20/7</f>
        <v>35.413895895436831</v>
      </c>
      <c r="J56">
        <f>'A-Demande-cidre'!S$20/7</f>
        <v>39.54551708323779</v>
      </c>
      <c r="K56">
        <f>'A-Demande-cidre'!T$20/7</f>
        <v>102.21696399908281</v>
      </c>
      <c r="L56">
        <f>'A-Demande-cidre'!U$20/7</f>
        <v>183.57514331575331</v>
      </c>
    </row>
    <row r="57" spans="1:15">
      <c r="A57">
        <v>53</v>
      </c>
      <c r="B57">
        <v>3</v>
      </c>
      <c r="C57">
        <v>61</v>
      </c>
      <c r="D57" t="s">
        <v>106</v>
      </c>
      <c r="E57" t="s">
        <v>107</v>
      </c>
      <c r="F57">
        <f>'A-Demande-cidre'!O$20/7</f>
        <v>1835.7514331575328</v>
      </c>
      <c r="G57">
        <f>'A-Demande-cidre'!P$20/7</f>
        <v>1245.5198349002524</v>
      </c>
      <c r="H57">
        <f>'A-Demande-cidre'!Q$20/7</f>
        <v>29.511579912864025</v>
      </c>
      <c r="I57">
        <f>'A-Demande-cidre'!R$20/7</f>
        <v>35.413895895436831</v>
      </c>
      <c r="J57">
        <f>'A-Demande-cidre'!S$20/7</f>
        <v>39.54551708323779</v>
      </c>
      <c r="K57">
        <f>'A-Demande-cidre'!T$20/7</f>
        <v>102.21696399908281</v>
      </c>
      <c r="L57">
        <f>'A-Demande-cidre'!U$20/7</f>
        <v>183.57514331575331</v>
      </c>
    </row>
    <row r="58" spans="1:15">
      <c r="A58">
        <v>31</v>
      </c>
      <c r="B58">
        <v>1</v>
      </c>
      <c r="C58">
        <v>76</v>
      </c>
      <c r="D58" t="s">
        <v>62</v>
      </c>
      <c r="E58" t="s">
        <v>63</v>
      </c>
      <c r="F58">
        <f>'A-Demande-cidre'!O$21/9</f>
        <v>489.24843945068665</v>
      </c>
      <c r="G58">
        <f>'A-Demande-cidre'!P$21/9</f>
        <v>331.94506866416975</v>
      </c>
      <c r="H58">
        <f>'A-Demande-cidre'!Q$21/9</f>
        <v>7.8651685393258424</v>
      </c>
      <c r="I58">
        <f>'A-Demande-cidre'!R$21/9</f>
        <v>9.4382022471910112</v>
      </c>
      <c r="J58">
        <f>'A-Demande-cidre'!S$21/9</f>
        <v>10.539325842696631</v>
      </c>
      <c r="K58">
        <f>'A-Demande-cidre'!T$21/9</f>
        <v>27.241972534332085</v>
      </c>
      <c r="L58">
        <f>'A-Demande-cidre'!U$21/9</f>
        <v>48.924843945068659</v>
      </c>
    </row>
    <row r="59" spans="1:15">
      <c r="A59">
        <v>39</v>
      </c>
      <c r="B59">
        <v>1</v>
      </c>
      <c r="C59">
        <v>76</v>
      </c>
      <c r="D59" t="s">
        <v>78</v>
      </c>
      <c r="E59" t="s">
        <v>79</v>
      </c>
      <c r="F59">
        <f>'A-Demande-cidre'!O$21/9</f>
        <v>489.24843945068665</v>
      </c>
      <c r="G59">
        <f>'A-Demande-cidre'!P$21/9</f>
        <v>331.94506866416975</v>
      </c>
      <c r="H59">
        <f>'A-Demande-cidre'!Q$21/9</f>
        <v>7.8651685393258424</v>
      </c>
      <c r="I59">
        <f>'A-Demande-cidre'!R$21/9</f>
        <v>9.4382022471910112</v>
      </c>
      <c r="J59">
        <f>'A-Demande-cidre'!S$21/9</f>
        <v>10.539325842696631</v>
      </c>
      <c r="K59">
        <f>'A-Demande-cidre'!T$21/9</f>
        <v>27.241972534332085</v>
      </c>
      <c r="L59">
        <f>'A-Demande-cidre'!U$21/9</f>
        <v>48.924843945068659</v>
      </c>
    </row>
    <row r="60" spans="1:15">
      <c r="A60">
        <v>40</v>
      </c>
      <c r="B60">
        <v>1</v>
      </c>
      <c r="C60">
        <v>76</v>
      </c>
      <c r="D60" t="s">
        <v>80</v>
      </c>
      <c r="E60" t="s">
        <v>81</v>
      </c>
      <c r="F60">
        <f>'A-Demande-cidre'!O$21/9</f>
        <v>489.24843945068665</v>
      </c>
      <c r="G60">
        <f>'A-Demande-cidre'!P$21/9</f>
        <v>331.94506866416975</v>
      </c>
      <c r="H60">
        <f>'A-Demande-cidre'!Q$21/9</f>
        <v>7.8651685393258424</v>
      </c>
      <c r="I60">
        <f>'A-Demande-cidre'!R$21/9</f>
        <v>9.4382022471910112</v>
      </c>
      <c r="J60">
        <f>'A-Demande-cidre'!S$21/9</f>
        <v>10.539325842696631</v>
      </c>
      <c r="K60">
        <f>'A-Demande-cidre'!T$21/9</f>
        <v>27.241972534332085</v>
      </c>
      <c r="L60">
        <f>'A-Demande-cidre'!U$21/9</f>
        <v>48.924843945068659</v>
      </c>
    </row>
    <row r="61" spans="1:15">
      <c r="A61">
        <v>42</v>
      </c>
      <c r="B61">
        <v>1</v>
      </c>
      <c r="C61">
        <v>76</v>
      </c>
      <c r="D61" t="s">
        <v>84</v>
      </c>
      <c r="E61" t="s">
        <v>85</v>
      </c>
      <c r="F61">
        <f>'A-Demande-cidre'!O$21/9</f>
        <v>489.24843945068665</v>
      </c>
      <c r="G61">
        <f>'A-Demande-cidre'!P$21/9</f>
        <v>331.94506866416975</v>
      </c>
      <c r="H61">
        <f>'A-Demande-cidre'!Q$21/9</f>
        <v>7.8651685393258424</v>
      </c>
      <c r="I61">
        <f>'A-Demande-cidre'!R$21/9</f>
        <v>9.4382022471910112</v>
      </c>
      <c r="J61">
        <f>'A-Demande-cidre'!S$21/9</f>
        <v>10.539325842696631</v>
      </c>
      <c r="K61">
        <f>'A-Demande-cidre'!T$21/9</f>
        <v>27.241972534332085</v>
      </c>
      <c r="L61">
        <f>'A-Demande-cidre'!U$21/9</f>
        <v>48.924843945068659</v>
      </c>
    </row>
    <row r="62" spans="1:15">
      <c r="A62">
        <v>44</v>
      </c>
      <c r="B62">
        <v>1</v>
      </c>
      <c r="C62">
        <v>76</v>
      </c>
      <c r="D62" t="s">
        <v>88</v>
      </c>
      <c r="E62" t="s">
        <v>89</v>
      </c>
      <c r="F62">
        <f>'A-Demande-cidre'!O$21/9</f>
        <v>489.24843945068665</v>
      </c>
      <c r="G62">
        <f>'A-Demande-cidre'!P$21/9</f>
        <v>331.94506866416975</v>
      </c>
      <c r="H62">
        <f>'A-Demande-cidre'!Q$21/9</f>
        <v>7.8651685393258424</v>
      </c>
      <c r="I62">
        <f>'A-Demande-cidre'!R$21/9</f>
        <v>9.4382022471910112</v>
      </c>
      <c r="J62">
        <f>'A-Demande-cidre'!S$21/9</f>
        <v>10.539325842696631</v>
      </c>
      <c r="K62">
        <f>'A-Demande-cidre'!T$21/9</f>
        <v>27.241972534332085</v>
      </c>
      <c r="L62">
        <f>'A-Demande-cidre'!U$21/9</f>
        <v>48.924843945068659</v>
      </c>
      <c r="O62" s="5"/>
    </row>
    <row r="63" spans="1:15">
      <c r="A63">
        <v>66</v>
      </c>
      <c r="B63">
        <v>1</v>
      </c>
      <c r="C63">
        <v>76</v>
      </c>
      <c r="D63" t="s">
        <v>132</v>
      </c>
      <c r="E63" t="s">
        <v>133</v>
      </c>
      <c r="F63">
        <f>'A-Demande-cidre'!O$21/9</f>
        <v>489.24843945068665</v>
      </c>
      <c r="G63">
        <f>'A-Demande-cidre'!P$21/9</f>
        <v>331.94506866416975</v>
      </c>
      <c r="H63">
        <f>'A-Demande-cidre'!Q$21/9</f>
        <v>7.8651685393258424</v>
      </c>
      <c r="I63">
        <f>'A-Demande-cidre'!R$21/9</f>
        <v>9.4382022471910112</v>
      </c>
      <c r="J63">
        <f>'A-Demande-cidre'!S$21/9</f>
        <v>10.539325842696631</v>
      </c>
      <c r="K63">
        <f>'A-Demande-cidre'!T$21/9</f>
        <v>27.241972534332085</v>
      </c>
      <c r="L63">
        <f>'A-Demande-cidre'!U$21/9</f>
        <v>48.924843945068659</v>
      </c>
    </row>
    <row r="64" spans="1:15">
      <c r="A64">
        <v>67</v>
      </c>
      <c r="B64">
        <v>1</v>
      </c>
      <c r="C64">
        <v>76</v>
      </c>
      <c r="D64" t="s">
        <v>134</v>
      </c>
      <c r="E64" t="s">
        <v>135</v>
      </c>
      <c r="F64">
        <f>'A-Demande-cidre'!O$21/9</f>
        <v>489.24843945068665</v>
      </c>
      <c r="G64">
        <f>'A-Demande-cidre'!P$21/9</f>
        <v>331.94506866416975</v>
      </c>
      <c r="H64">
        <f>'A-Demande-cidre'!Q$21/9</f>
        <v>7.8651685393258424</v>
      </c>
      <c r="I64">
        <f>'A-Demande-cidre'!R$21/9</f>
        <v>9.4382022471910112</v>
      </c>
      <c r="J64">
        <f>'A-Demande-cidre'!S$21/9</f>
        <v>10.539325842696631</v>
      </c>
      <c r="K64">
        <f>'A-Demande-cidre'!T$21/9</f>
        <v>27.241972534332085</v>
      </c>
      <c r="L64">
        <f>'A-Demande-cidre'!U$21/9</f>
        <v>48.924843945068659</v>
      </c>
    </row>
    <row r="65" spans="1:12">
      <c r="A65">
        <v>70</v>
      </c>
      <c r="B65">
        <v>1</v>
      </c>
      <c r="C65">
        <v>76</v>
      </c>
      <c r="D65" t="s">
        <v>140</v>
      </c>
      <c r="E65" t="s">
        <v>141</v>
      </c>
      <c r="F65">
        <f>'A-Demande-cidre'!O$21/9</f>
        <v>489.24843945068665</v>
      </c>
      <c r="G65">
        <f>'A-Demande-cidre'!P$21/9</f>
        <v>331.94506866416975</v>
      </c>
      <c r="H65">
        <f>'A-Demande-cidre'!Q$21/9</f>
        <v>7.8651685393258424</v>
      </c>
      <c r="I65">
        <f>'A-Demande-cidre'!R$21/9</f>
        <v>9.4382022471910112</v>
      </c>
      <c r="J65">
        <f>'A-Demande-cidre'!S$21/9</f>
        <v>10.539325842696631</v>
      </c>
      <c r="K65">
        <f>'A-Demande-cidre'!T$21/9</f>
        <v>27.241972534332085</v>
      </c>
      <c r="L65">
        <f>'A-Demande-cidre'!U$21/9</f>
        <v>48.924843945068659</v>
      </c>
    </row>
    <row r="66" spans="1:12">
      <c r="A66">
        <v>71</v>
      </c>
      <c r="B66">
        <v>1</v>
      </c>
      <c r="C66">
        <v>76</v>
      </c>
      <c r="D66" t="s">
        <v>142</v>
      </c>
      <c r="E66" t="s">
        <v>143</v>
      </c>
      <c r="F66">
        <f>'A-Demande-cidre'!O$21/9</f>
        <v>489.24843945068665</v>
      </c>
      <c r="G66">
        <f>'A-Demande-cidre'!P$21/9</f>
        <v>331.94506866416975</v>
      </c>
      <c r="H66">
        <f>'A-Demande-cidre'!Q$21/9</f>
        <v>7.8651685393258424</v>
      </c>
      <c r="I66">
        <f>'A-Demande-cidre'!R$21/9</f>
        <v>9.4382022471910112</v>
      </c>
      <c r="J66">
        <f>'A-Demande-cidre'!S$21/9</f>
        <v>10.539325842696631</v>
      </c>
      <c r="K66">
        <f>'A-Demande-cidre'!T$21/9</f>
        <v>27.241972534332085</v>
      </c>
      <c r="L66">
        <f>'A-Demande-cidre'!U$21/9</f>
        <v>48.924843945068659</v>
      </c>
    </row>
    <row r="67" spans="1:12">
      <c r="A67">
        <v>1</v>
      </c>
      <c r="B67">
        <v>2</v>
      </c>
      <c r="C67">
        <v>76</v>
      </c>
      <c r="D67" t="s">
        <v>2</v>
      </c>
      <c r="E67" t="s">
        <v>3</v>
      </c>
      <c r="F67">
        <f>'A-Demande-cidre'!O$22/4</f>
        <v>224.65489566613161</v>
      </c>
      <c r="G67">
        <f>'A-Demande-cidre'!P$22/4</f>
        <v>152.42375601926162</v>
      </c>
      <c r="H67">
        <f>'A-Demande-cidre'!Q$22/4</f>
        <v>3.6115569823434996</v>
      </c>
      <c r="I67">
        <f>'A-Demande-cidre'!R$22/4</f>
        <v>4.3338683788121992</v>
      </c>
      <c r="J67">
        <f>'A-Demande-cidre'!S$22/4</f>
        <v>4.8394863563402897</v>
      </c>
      <c r="K67">
        <f>'A-Demande-cidre'!T$22/4</f>
        <v>12.509069020866775</v>
      </c>
      <c r="L67">
        <f>'A-Demande-cidre'!U$22/4</f>
        <v>22.465489566613162</v>
      </c>
    </row>
    <row r="68" spans="1:12">
      <c r="A68">
        <v>41</v>
      </c>
      <c r="B68">
        <v>2</v>
      </c>
      <c r="C68">
        <v>76</v>
      </c>
      <c r="D68" t="s">
        <v>82</v>
      </c>
      <c r="E68" t="s">
        <v>83</v>
      </c>
      <c r="F68">
        <f>'A-Demande-cidre'!O$22/4</f>
        <v>224.65489566613161</v>
      </c>
      <c r="G68">
        <f>'A-Demande-cidre'!P$22/4</f>
        <v>152.42375601926162</v>
      </c>
      <c r="H68">
        <f>'A-Demande-cidre'!Q$22/4</f>
        <v>3.6115569823434996</v>
      </c>
      <c r="I68">
        <f>'A-Demande-cidre'!R$22/4</f>
        <v>4.3338683788121992</v>
      </c>
      <c r="J68">
        <f>'A-Demande-cidre'!S$22/4</f>
        <v>4.8394863563402897</v>
      </c>
      <c r="K68">
        <f>'A-Demande-cidre'!T$22/4</f>
        <v>12.509069020866775</v>
      </c>
      <c r="L68">
        <f>'A-Demande-cidre'!U$22/4</f>
        <v>22.465489566613162</v>
      </c>
    </row>
    <row r="69" spans="1:12">
      <c r="A69">
        <v>54</v>
      </c>
      <c r="B69">
        <v>2</v>
      </c>
      <c r="C69">
        <v>76</v>
      </c>
      <c r="D69" t="s">
        <v>108</v>
      </c>
      <c r="E69" t="s">
        <v>109</v>
      </c>
      <c r="F69">
        <f>'A-Demande-cidre'!O$22/4</f>
        <v>224.65489566613161</v>
      </c>
      <c r="G69">
        <f>'A-Demande-cidre'!P$22/4</f>
        <v>152.42375601926162</v>
      </c>
      <c r="H69">
        <f>'A-Demande-cidre'!Q$22/4</f>
        <v>3.6115569823434996</v>
      </c>
      <c r="I69">
        <f>'A-Demande-cidre'!R$22/4</f>
        <v>4.3338683788121992</v>
      </c>
      <c r="J69">
        <f>'A-Demande-cidre'!S$22/4</f>
        <v>4.8394863563402897</v>
      </c>
      <c r="K69">
        <f>'A-Demande-cidre'!T$22/4</f>
        <v>12.509069020866775</v>
      </c>
      <c r="L69">
        <f>'A-Demande-cidre'!U$22/4</f>
        <v>22.465489566613162</v>
      </c>
    </row>
    <row r="70" spans="1:12">
      <c r="A70">
        <v>65</v>
      </c>
      <c r="B70">
        <v>2</v>
      </c>
      <c r="C70">
        <v>76</v>
      </c>
      <c r="D70" t="s">
        <v>130</v>
      </c>
      <c r="E70" t="s">
        <v>131</v>
      </c>
      <c r="F70">
        <f>'A-Demande-cidre'!O$22/4</f>
        <v>224.65489566613161</v>
      </c>
      <c r="G70">
        <f>'A-Demande-cidre'!P$22/4</f>
        <v>152.42375601926162</v>
      </c>
      <c r="H70">
        <f>'A-Demande-cidre'!Q$22/4</f>
        <v>3.6115569823434996</v>
      </c>
      <c r="I70">
        <f>'A-Demande-cidre'!R$22/4</f>
        <v>4.3338683788121992</v>
      </c>
      <c r="J70">
        <f>'A-Demande-cidre'!S$22/4</f>
        <v>4.8394863563402897</v>
      </c>
      <c r="K70">
        <f>'A-Demande-cidre'!T$22/4</f>
        <v>12.509069020866775</v>
      </c>
      <c r="L70">
        <f>'A-Demande-cidre'!U$22/4</f>
        <v>22.465489566613162</v>
      </c>
    </row>
    <row r="71" spans="1:12">
      <c r="A71">
        <v>2</v>
      </c>
      <c r="B71">
        <v>3</v>
      </c>
      <c r="C71">
        <v>76</v>
      </c>
      <c r="D71" t="s">
        <v>4</v>
      </c>
      <c r="E71" t="s">
        <v>5</v>
      </c>
      <c r="F71">
        <f>'A-Demande-cidre'!O$23/5</f>
        <v>431.3373996789727</v>
      </c>
      <c r="G71">
        <f>'A-Demande-cidre'!P$23/5</f>
        <v>292.65361155698236</v>
      </c>
      <c r="H71">
        <f>'A-Demande-cidre'!Q$23/5</f>
        <v>6.9341894060995202</v>
      </c>
      <c r="I71">
        <f>'A-Demande-cidre'!R$23/5</f>
        <v>8.3210272873194224</v>
      </c>
      <c r="J71">
        <f>'A-Demande-cidre'!S$23/5</f>
        <v>9.2918138041733567</v>
      </c>
      <c r="K71">
        <f>'A-Demande-cidre'!T$23/5</f>
        <v>24.017412520064209</v>
      </c>
      <c r="L71">
        <f>'A-Demande-cidre'!U$23/5</f>
        <v>43.133739967897277</v>
      </c>
    </row>
    <row r="72" spans="1:12">
      <c r="A72">
        <v>43</v>
      </c>
      <c r="B72">
        <v>3</v>
      </c>
      <c r="C72">
        <v>76</v>
      </c>
      <c r="D72" t="s">
        <v>86</v>
      </c>
      <c r="E72" t="s">
        <v>87</v>
      </c>
      <c r="F72">
        <f>'A-Demande-cidre'!O$23/5</f>
        <v>431.3373996789727</v>
      </c>
      <c r="G72">
        <f>'A-Demande-cidre'!P$23/5</f>
        <v>292.65361155698236</v>
      </c>
      <c r="H72">
        <f>'A-Demande-cidre'!Q$23/5</f>
        <v>6.9341894060995202</v>
      </c>
      <c r="I72">
        <f>'A-Demande-cidre'!R$23/5</f>
        <v>8.3210272873194224</v>
      </c>
      <c r="J72">
        <f>'A-Demande-cidre'!S$23/5</f>
        <v>9.2918138041733567</v>
      </c>
      <c r="K72">
        <f>'A-Demande-cidre'!T$23/5</f>
        <v>24.017412520064209</v>
      </c>
      <c r="L72">
        <f>'A-Demande-cidre'!U$23/5</f>
        <v>43.133739967897277</v>
      </c>
    </row>
    <row r="73" spans="1:12">
      <c r="A73">
        <v>46</v>
      </c>
      <c r="B73">
        <v>3</v>
      </c>
      <c r="C73">
        <v>76</v>
      </c>
      <c r="D73" t="s">
        <v>92</v>
      </c>
      <c r="E73" t="s">
        <v>93</v>
      </c>
      <c r="F73">
        <f>'A-Demande-cidre'!O$23/5</f>
        <v>431.3373996789727</v>
      </c>
      <c r="G73">
        <f>'A-Demande-cidre'!P$23/5</f>
        <v>292.65361155698236</v>
      </c>
      <c r="H73">
        <f>'A-Demande-cidre'!Q$23/5</f>
        <v>6.9341894060995202</v>
      </c>
      <c r="I73">
        <f>'A-Demande-cidre'!R$23/5</f>
        <v>8.3210272873194224</v>
      </c>
      <c r="J73">
        <f>'A-Demande-cidre'!S$23/5</f>
        <v>9.2918138041733567</v>
      </c>
      <c r="K73">
        <f>'A-Demande-cidre'!T$23/5</f>
        <v>24.017412520064209</v>
      </c>
      <c r="L73">
        <f>'A-Demande-cidre'!U$23/5</f>
        <v>43.133739967897277</v>
      </c>
    </row>
    <row r="74" spans="1:12">
      <c r="A74">
        <v>68</v>
      </c>
      <c r="B74">
        <v>3</v>
      </c>
      <c r="C74">
        <v>76</v>
      </c>
      <c r="D74" t="s">
        <v>136</v>
      </c>
      <c r="E74" t="s">
        <v>137</v>
      </c>
      <c r="F74">
        <f>'A-Demande-cidre'!O$23/5</f>
        <v>431.3373996789727</v>
      </c>
      <c r="G74">
        <f>'A-Demande-cidre'!P$23/5</f>
        <v>292.65361155698236</v>
      </c>
      <c r="H74">
        <f>'A-Demande-cidre'!Q$23/5</f>
        <v>6.9341894060995202</v>
      </c>
      <c r="I74">
        <f>'A-Demande-cidre'!R$23/5</f>
        <v>8.3210272873194224</v>
      </c>
      <c r="J74">
        <f>'A-Demande-cidre'!S$23/5</f>
        <v>9.2918138041733567</v>
      </c>
      <c r="K74">
        <f>'A-Demande-cidre'!T$23/5</f>
        <v>24.017412520064209</v>
      </c>
      <c r="L74">
        <f>'A-Demande-cidre'!U$23/5</f>
        <v>43.133739967897277</v>
      </c>
    </row>
    <row r="75" spans="1:12">
      <c r="A75">
        <v>69</v>
      </c>
      <c r="B75">
        <v>3</v>
      </c>
      <c r="C75">
        <v>76</v>
      </c>
      <c r="D75" t="s">
        <v>138</v>
      </c>
      <c r="E75" t="s">
        <v>139</v>
      </c>
      <c r="F75">
        <f>'A-Demande-cidre'!O$23/5</f>
        <v>431.3373996789727</v>
      </c>
      <c r="G75">
        <f>'A-Demande-cidre'!P$23/5</f>
        <v>292.65361155698236</v>
      </c>
      <c r="H75">
        <f>'A-Demande-cidre'!Q$23/5</f>
        <v>6.9341894060995202</v>
      </c>
      <c r="I75">
        <f>'A-Demande-cidre'!R$23/5</f>
        <v>8.3210272873194224</v>
      </c>
      <c r="J75">
        <f>'A-Demande-cidre'!S$23/5</f>
        <v>9.2918138041733567</v>
      </c>
      <c r="K75">
        <f>'A-Demande-cidre'!T$23/5</f>
        <v>24.017412520064209</v>
      </c>
      <c r="L75">
        <f>'A-Demande-cidre'!U$23/5</f>
        <v>43.133739967897277</v>
      </c>
    </row>
    <row r="76" spans="1:12">
      <c r="F76" s="85">
        <f t="shared" ref="F76:L76" si="0">SUM(F5:F75)</f>
        <v>111968.00000000006</v>
      </c>
      <c r="G76" s="85">
        <f t="shared" si="0"/>
        <v>75967.999999999854</v>
      </c>
      <c r="H76" s="85">
        <f t="shared" si="0"/>
        <v>1800.0000000000009</v>
      </c>
      <c r="I76" s="85">
        <f t="shared" si="0"/>
        <v>2159.9999999999977</v>
      </c>
      <c r="J76" s="85">
        <f t="shared" si="0"/>
        <v>2411.9999999999991</v>
      </c>
      <c r="K76" s="85">
        <f t="shared" si="0"/>
        <v>6234.5200000000013</v>
      </c>
      <c r="L76" s="85">
        <f t="shared" si="0"/>
        <v>11196.80000000001</v>
      </c>
    </row>
  </sheetData>
  <sheetProtection sheet="1" objects="1" scenarios="1"/>
  <sortState xmlns:xlrd2="http://schemas.microsoft.com/office/spreadsheetml/2017/richdata2" ref="A5:P75">
    <sortCondition ref="A5:A75"/>
  </sortState>
  <mergeCells count="4">
    <mergeCell ref="A3:C3"/>
    <mergeCell ref="D3:E3"/>
    <mergeCell ref="F3:L3"/>
    <mergeCell ref="O3:U3"/>
  </mergeCells>
  <pageMargins left="0.7" right="0.7" top="0.75" bottom="0.75" header="0.3" footer="0.3"/>
  <pageSetup paperSize="9" orientation="portrait" verticalDpi="0"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FEF06-B773-4A21-BE19-066777E77AD1}">
  <sheetPr codeName="Feuil13"/>
  <dimension ref="A1:O81"/>
  <sheetViews>
    <sheetView topLeftCell="A34" zoomScale="70" zoomScaleNormal="70" workbookViewId="0">
      <selection activeCell="K86" sqref="K86"/>
    </sheetView>
  </sheetViews>
  <sheetFormatPr baseColWidth="10" defaultRowHeight="15.75"/>
  <cols>
    <col min="2" max="2" width="15.375" customWidth="1"/>
    <col min="3" max="3" width="13.25" customWidth="1"/>
    <col min="4" max="4" width="38.75" bestFit="1" customWidth="1"/>
    <col min="5" max="5" width="9.5" customWidth="1"/>
    <col min="6" max="6" width="30.125" bestFit="1" customWidth="1"/>
    <col min="8" max="8" width="15" customWidth="1"/>
    <col min="9" max="9" width="29.375" customWidth="1"/>
  </cols>
  <sheetData>
    <row r="1" spans="1:15">
      <c r="D1" s="85" t="s">
        <v>658</v>
      </c>
    </row>
    <row r="2" spans="1:15" ht="15.75" customHeight="1">
      <c r="K2" s="86"/>
    </row>
    <row r="3" spans="1:15" ht="15.75" customHeight="1">
      <c r="A3" s="134" t="s">
        <v>647</v>
      </c>
      <c r="B3" s="134"/>
      <c r="C3" s="134"/>
      <c r="D3" s="134" t="s">
        <v>153</v>
      </c>
      <c r="E3" s="134"/>
      <c r="F3" s="134" t="s">
        <v>664</v>
      </c>
      <c r="G3" s="134"/>
      <c r="H3" s="134"/>
      <c r="I3" s="134"/>
      <c r="L3" s="132" t="s">
        <v>587</v>
      </c>
      <c r="M3" s="133"/>
      <c r="N3" s="133"/>
      <c r="O3" s="133"/>
    </row>
    <row r="4" spans="1:15" s="100" customFormat="1" ht="63" customHeight="1">
      <c r="A4" s="99" t="s">
        <v>152</v>
      </c>
      <c r="B4" s="99" t="s">
        <v>144</v>
      </c>
      <c r="C4" s="99" t="s">
        <v>145</v>
      </c>
      <c r="D4" s="101" t="s">
        <v>0</v>
      </c>
      <c r="E4" s="99" t="s">
        <v>1</v>
      </c>
      <c r="F4" s="12" t="s">
        <v>657</v>
      </c>
      <c r="G4" s="12" t="s">
        <v>627</v>
      </c>
      <c r="H4" s="12" t="s">
        <v>877</v>
      </c>
      <c r="I4" s="12" t="s">
        <v>633</v>
      </c>
      <c r="L4" s="12" t="s">
        <v>278</v>
      </c>
      <c r="M4" s="12" t="s">
        <v>628</v>
      </c>
      <c r="N4" s="35" t="s">
        <v>300</v>
      </c>
      <c r="O4" s="12" t="s">
        <v>270</v>
      </c>
    </row>
    <row r="5" spans="1:15">
      <c r="A5">
        <v>1</v>
      </c>
      <c r="B5">
        <v>1</v>
      </c>
      <c r="C5">
        <v>14</v>
      </c>
      <c r="D5" t="s">
        <v>44</v>
      </c>
      <c r="E5" t="s">
        <v>45</v>
      </c>
      <c r="F5">
        <v>2935</v>
      </c>
      <c r="G5">
        <f t="shared" ref="G5:G36" si="0">F5/$F$81</f>
        <v>8.8514257279430613E-3</v>
      </c>
      <c r="H5">
        <f t="shared" ref="H5:H36" si="1">G5*$E$79</f>
        <v>26554.277183829185</v>
      </c>
      <c r="I5">
        <f t="shared" ref="I5:I36" si="2">(H5*3)/1000</f>
        <v>79.662831551487557</v>
      </c>
      <c r="L5" s="11" t="s">
        <v>181</v>
      </c>
      <c r="M5" s="4">
        <f>SUM(I5:I20)</f>
        <v>1906.180918919734</v>
      </c>
      <c r="N5" s="10">
        <f>M5</f>
        <v>1906.180918919734</v>
      </c>
      <c r="O5" s="10">
        <f>(M5/$M$10)*100</f>
        <v>21.179787987997045</v>
      </c>
    </row>
    <row r="6" spans="1:15">
      <c r="A6">
        <v>36</v>
      </c>
      <c r="B6">
        <v>1</v>
      </c>
      <c r="C6">
        <v>14</v>
      </c>
      <c r="D6" t="s">
        <v>72</v>
      </c>
      <c r="E6" t="s">
        <v>73</v>
      </c>
      <c r="F6">
        <v>1211</v>
      </c>
      <c r="G6">
        <f t="shared" si="0"/>
        <v>3.6521555558906463E-3</v>
      </c>
      <c r="H6">
        <f t="shared" si="1"/>
        <v>10956.466667671939</v>
      </c>
      <c r="I6">
        <f t="shared" si="2"/>
        <v>32.869400003015819</v>
      </c>
      <c r="L6" s="11" t="s">
        <v>205</v>
      </c>
      <c r="M6" s="4">
        <f>SUM(I21:I33)</f>
        <v>1344.1983201893931</v>
      </c>
      <c r="N6" s="10">
        <f t="shared" ref="N6:N9" si="3">M6</f>
        <v>1344.1983201893931</v>
      </c>
      <c r="O6" s="10">
        <f>(M6/$M$10)*100</f>
        <v>14.935536890993257</v>
      </c>
    </row>
    <row r="7" spans="1:15">
      <c r="A7">
        <v>58</v>
      </c>
      <c r="B7">
        <v>1</v>
      </c>
      <c r="C7">
        <v>14</v>
      </c>
      <c r="D7" t="s">
        <v>116</v>
      </c>
      <c r="E7" t="s">
        <v>117</v>
      </c>
      <c r="F7">
        <v>3684</v>
      </c>
      <c r="G7">
        <f t="shared" si="0"/>
        <v>1.1110273383898549E-2</v>
      </c>
      <c r="H7">
        <f t="shared" si="1"/>
        <v>33330.820151695647</v>
      </c>
      <c r="I7">
        <f t="shared" si="2"/>
        <v>99.992460455086942</v>
      </c>
      <c r="L7" s="11" t="s">
        <v>200</v>
      </c>
      <c r="M7" s="4">
        <f>SUM(I34:I40)</f>
        <v>1411.9456549602667</v>
      </c>
      <c r="N7" s="10">
        <f t="shared" si="3"/>
        <v>1411.9456549602667</v>
      </c>
      <c r="O7" s="10">
        <f>(M7/$M$10)*100</f>
        <v>15.688285055114074</v>
      </c>
    </row>
    <row r="8" spans="1:15">
      <c r="A8">
        <v>12</v>
      </c>
      <c r="B8">
        <v>2</v>
      </c>
      <c r="C8">
        <v>14</v>
      </c>
      <c r="D8" t="s">
        <v>24</v>
      </c>
      <c r="E8" t="s">
        <v>25</v>
      </c>
      <c r="F8">
        <v>1178</v>
      </c>
      <c r="G8">
        <f t="shared" si="0"/>
        <v>3.5526335630381351E-3</v>
      </c>
      <c r="H8">
        <f t="shared" si="1"/>
        <v>10657.900689114405</v>
      </c>
      <c r="I8">
        <f t="shared" si="2"/>
        <v>31.973702067343215</v>
      </c>
      <c r="L8" s="11" t="s">
        <v>272</v>
      </c>
      <c r="M8" s="4">
        <f>SUM(I41:I57)</f>
        <v>1192.3368065503566</v>
      </c>
      <c r="N8" s="10">
        <f t="shared" si="3"/>
        <v>1192.3368065503566</v>
      </c>
      <c r="O8" s="10">
        <f>(M8/$M$10)*100</f>
        <v>13.248186739448405</v>
      </c>
    </row>
    <row r="9" spans="1:15">
      <c r="A9">
        <v>13</v>
      </c>
      <c r="B9">
        <v>2</v>
      </c>
      <c r="C9">
        <v>14</v>
      </c>
      <c r="D9" t="s">
        <v>26</v>
      </c>
      <c r="E9" t="s">
        <v>27</v>
      </c>
      <c r="F9">
        <v>24383</v>
      </c>
      <c r="G9">
        <f t="shared" si="0"/>
        <v>7.3534689446145024E-2</v>
      </c>
      <c r="H9">
        <f t="shared" si="1"/>
        <v>220604.06833843509</v>
      </c>
      <c r="I9">
        <f t="shared" si="2"/>
        <v>661.81220501530515</v>
      </c>
      <c r="L9" s="11" t="s">
        <v>271</v>
      </c>
      <c r="M9" s="4">
        <f>SUM(I58:I75)</f>
        <v>3145.3382993802493</v>
      </c>
      <c r="N9" s="10">
        <f t="shared" si="3"/>
        <v>3145.3382993802493</v>
      </c>
      <c r="O9" s="10">
        <f>(M9/$M$10)*100</f>
        <v>34.948203326447214</v>
      </c>
    </row>
    <row r="10" spans="1:15">
      <c r="A10">
        <v>20</v>
      </c>
      <c r="B10">
        <v>2</v>
      </c>
      <c r="C10">
        <v>14</v>
      </c>
      <c r="D10" t="s">
        <v>40</v>
      </c>
      <c r="E10" t="s">
        <v>41</v>
      </c>
      <c r="F10">
        <v>1867</v>
      </c>
      <c r="G10">
        <f t="shared" si="0"/>
        <v>5.6305321410799643E-3</v>
      </c>
      <c r="H10">
        <f t="shared" si="1"/>
        <v>16891.596423239891</v>
      </c>
      <c r="I10">
        <f t="shared" si="2"/>
        <v>50.674789269719675</v>
      </c>
      <c r="L10" s="9" t="s">
        <v>230</v>
      </c>
      <c r="M10" s="4">
        <f>SUM(M5:M9)</f>
        <v>9000</v>
      </c>
      <c r="N10" s="8">
        <f>SUM(N5:N9)</f>
        <v>9000</v>
      </c>
      <c r="O10" s="8">
        <f>SUM(O5:O9)</f>
        <v>99.999999999999986</v>
      </c>
    </row>
    <row r="11" spans="1:15">
      <c r="A11">
        <v>21</v>
      </c>
      <c r="B11">
        <v>2</v>
      </c>
      <c r="C11">
        <v>14</v>
      </c>
      <c r="D11" t="s">
        <v>42</v>
      </c>
      <c r="E11" t="s">
        <v>43</v>
      </c>
      <c r="F11">
        <v>1603</v>
      </c>
      <c r="G11">
        <f t="shared" si="0"/>
        <v>4.8343561982598727E-3</v>
      </c>
      <c r="H11">
        <f t="shared" si="1"/>
        <v>14503.068594779617</v>
      </c>
      <c r="I11">
        <f t="shared" si="2"/>
        <v>43.509205784338853</v>
      </c>
      <c r="M11" s="90"/>
    </row>
    <row r="12" spans="1:15">
      <c r="A12">
        <v>57</v>
      </c>
      <c r="B12">
        <v>2</v>
      </c>
      <c r="C12">
        <v>14</v>
      </c>
      <c r="D12" t="s">
        <v>114</v>
      </c>
      <c r="E12" t="s">
        <v>115</v>
      </c>
      <c r="F12">
        <v>2618</v>
      </c>
      <c r="G12">
        <f t="shared" si="0"/>
        <v>7.8954114329659059E-3</v>
      </c>
      <c r="H12">
        <f t="shared" si="1"/>
        <v>23686.234298897718</v>
      </c>
      <c r="I12">
        <f t="shared" si="2"/>
        <v>71.058702896693148</v>
      </c>
    </row>
    <row r="13" spans="1:15">
      <c r="A13">
        <v>59</v>
      </c>
      <c r="B13">
        <v>2</v>
      </c>
      <c r="C13">
        <v>14</v>
      </c>
      <c r="D13" t="s">
        <v>118</v>
      </c>
      <c r="E13" t="s">
        <v>119</v>
      </c>
      <c r="F13">
        <v>2953</v>
      </c>
      <c r="G13">
        <f t="shared" si="0"/>
        <v>8.905710451317158E-3</v>
      </c>
      <c r="H13">
        <f t="shared" si="1"/>
        <v>26717.131353951474</v>
      </c>
      <c r="I13">
        <f t="shared" si="2"/>
        <v>80.151394061854432</v>
      </c>
    </row>
    <row r="14" spans="1:15">
      <c r="A14">
        <v>11</v>
      </c>
      <c r="B14">
        <v>3</v>
      </c>
      <c r="C14">
        <v>14</v>
      </c>
      <c r="D14" t="s">
        <v>22</v>
      </c>
      <c r="E14" t="s">
        <v>23</v>
      </c>
      <c r="F14">
        <v>3730</v>
      </c>
      <c r="G14">
        <f t="shared" si="0"/>
        <v>1.1249001010299018E-2</v>
      </c>
      <c r="H14">
        <f t="shared" si="1"/>
        <v>33747.003030897053</v>
      </c>
      <c r="I14">
        <f t="shared" si="2"/>
        <v>101.24100909269114</v>
      </c>
    </row>
    <row r="15" spans="1:15">
      <c r="A15">
        <v>23</v>
      </c>
      <c r="B15">
        <v>3</v>
      </c>
      <c r="C15">
        <v>14</v>
      </c>
      <c r="D15" t="s">
        <v>46</v>
      </c>
      <c r="E15" t="s">
        <v>47</v>
      </c>
      <c r="F15">
        <v>2406</v>
      </c>
      <c r="G15">
        <f t="shared" si="0"/>
        <v>7.2560580243376509E-3</v>
      </c>
      <c r="H15">
        <f t="shared" si="1"/>
        <v>21768.174073012953</v>
      </c>
      <c r="I15">
        <f t="shared" si="2"/>
        <v>65.304522219038859</v>
      </c>
    </row>
    <row r="16" spans="1:15">
      <c r="A16">
        <v>38</v>
      </c>
      <c r="B16">
        <v>3</v>
      </c>
      <c r="C16">
        <v>14</v>
      </c>
      <c r="D16" t="s">
        <v>878</v>
      </c>
      <c r="E16" t="s">
        <v>77</v>
      </c>
      <c r="F16">
        <v>8006</v>
      </c>
      <c r="G16">
        <f t="shared" si="0"/>
        <v>2.4144638629612317E-2</v>
      </c>
      <c r="H16">
        <f t="shared" si="1"/>
        <v>72433.915888836957</v>
      </c>
      <c r="I16">
        <f t="shared" si="2"/>
        <v>217.30174766651086</v>
      </c>
    </row>
    <row r="17" spans="1:9">
      <c r="A17">
        <v>56</v>
      </c>
      <c r="B17">
        <v>3</v>
      </c>
      <c r="C17">
        <v>14</v>
      </c>
      <c r="D17" t="s">
        <v>112</v>
      </c>
      <c r="E17" t="s">
        <v>113</v>
      </c>
      <c r="F17">
        <v>3680</v>
      </c>
      <c r="G17">
        <f t="shared" si="0"/>
        <v>1.1098210112037637E-2</v>
      </c>
      <c r="H17">
        <f t="shared" si="1"/>
        <v>33294.63033611291</v>
      </c>
      <c r="I17">
        <f t="shared" si="2"/>
        <v>99.883891008338736</v>
      </c>
    </row>
    <row r="18" spans="1:9">
      <c r="A18">
        <v>60</v>
      </c>
      <c r="B18">
        <v>3</v>
      </c>
      <c r="C18">
        <v>14</v>
      </c>
      <c r="D18" t="s">
        <v>120</v>
      </c>
      <c r="E18" t="s">
        <v>121</v>
      </c>
      <c r="F18">
        <v>1953</v>
      </c>
      <c r="G18">
        <f t="shared" si="0"/>
        <v>5.88989248608954E-3</v>
      </c>
      <c r="H18">
        <f t="shared" si="1"/>
        <v>17669.677458268619</v>
      </c>
      <c r="I18">
        <f t="shared" si="2"/>
        <v>53.009032374805855</v>
      </c>
    </row>
    <row r="19" spans="1:9">
      <c r="A19">
        <v>32</v>
      </c>
      <c r="B19">
        <v>4</v>
      </c>
      <c r="C19">
        <v>14</v>
      </c>
      <c r="D19" t="s">
        <v>64</v>
      </c>
      <c r="E19" t="s">
        <v>65</v>
      </c>
      <c r="F19">
        <v>5881</v>
      </c>
      <c r="G19">
        <f t="shared" si="0"/>
        <v>1.7736025453503626E-2</v>
      </c>
      <c r="H19">
        <f t="shared" si="1"/>
        <v>53208.07636051088</v>
      </c>
      <c r="I19">
        <f t="shared" si="2"/>
        <v>159.62422908153263</v>
      </c>
    </row>
    <row r="20" spans="1:9">
      <c r="A20">
        <v>37</v>
      </c>
      <c r="B20">
        <v>4</v>
      </c>
      <c r="C20">
        <v>14</v>
      </c>
      <c r="D20" t="s">
        <v>74</v>
      </c>
      <c r="E20" t="s">
        <v>75</v>
      </c>
      <c r="F20">
        <v>2141</v>
      </c>
      <c r="G20">
        <f t="shared" si="0"/>
        <v>6.4568662635523322E-3</v>
      </c>
      <c r="H20">
        <f t="shared" si="1"/>
        <v>19370.598790656997</v>
      </c>
      <c r="I20">
        <f t="shared" si="2"/>
        <v>58.111796371970996</v>
      </c>
    </row>
    <row r="21" spans="1:9">
      <c r="A21">
        <v>45</v>
      </c>
      <c r="B21">
        <v>1</v>
      </c>
      <c r="C21">
        <v>27</v>
      </c>
      <c r="D21" t="s">
        <v>879</v>
      </c>
      <c r="E21" t="s">
        <v>91</v>
      </c>
      <c r="F21">
        <v>1781</v>
      </c>
      <c r="G21">
        <f t="shared" si="0"/>
        <v>5.3711717960703894E-3</v>
      </c>
      <c r="H21">
        <f t="shared" si="1"/>
        <v>16113.515388211168</v>
      </c>
      <c r="I21">
        <f t="shared" si="2"/>
        <v>48.340546164633501</v>
      </c>
    </row>
    <row r="22" spans="1:9">
      <c r="A22">
        <v>51</v>
      </c>
      <c r="B22">
        <v>1</v>
      </c>
      <c r="C22">
        <v>27</v>
      </c>
      <c r="D22" t="s">
        <v>102</v>
      </c>
      <c r="E22" t="s">
        <v>103</v>
      </c>
      <c r="F22">
        <v>2637</v>
      </c>
      <c r="G22">
        <f t="shared" si="0"/>
        <v>7.9527119743052314E-3</v>
      </c>
      <c r="H22">
        <f t="shared" si="1"/>
        <v>23858.135922915695</v>
      </c>
      <c r="I22">
        <f t="shared" si="2"/>
        <v>71.574407768747079</v>
      </c>
    </row>
    <row r="23" spans="1:9">
      <c r="A23">
        <v>52</v>
      </c>
      <c r="B23">
        <v>1</v>
      </c>
      <c r="C23">
        <v>27</v>
      </c>
      <c r="D23" t="s">
        <v>104</v>
      </c>
      <c r="E23" t="s">
        <v>105</v>
      </c>
      <c r="F23">
        <v>7180</v>
      </c>
      <c r="G23">
        <f t="shared" si="0"/>
        <v>2.1653572990334304E-2</v>
      </c>
      <c r="H23">
        <f t="shared" si="1"/>
        <v>64960.718971002912</v>
      </c>
      <c r="I23">
        <f t="shared" si="2"/>
        <v>194.88215691300874</v>
      </c>
    </row>
    <row r="24" spans="1:9">
      <c r="A24">
        <v>55</v>
      </c>
      <c r="B24">
        <v>1</v>
      </c>
      <c r="C24">
        <v>27</v>
      </c>
      <c r="D24" t="s">
        <v>110</v>
      </c>
      <c r="E24" t="s">
        <v>111</v>
      </c>
      <c r="F24">
        <v>7145</v>
      </c>
      <c r="G24">
        <f t="shared" si="0"/>
        <v>2.1548019361551336E-2</v>
      </c>
      <c r="H24">
        <f t="shared" si="1"/>
        <v>64644.058084654003</v>
      </c>
      <c r="I24">
        <f t="shared" si="2"/>
        <v>193.93217425396199</v>
      </c>
    </row>
    <row r="25" spans="1:9">
      <c r="A25">
        <v>14</v>
      </c>
      <c r="B25">
        <v>2</v>
      </c>
      <c r="C25">
        <v>27</v>
      </c>
      <c r="D25" t="s">
        <v>28</v>
      </c>
      <c r="E25" t="s">
        <v>29</v>
      </c>
      <c r="F25">
        <v>2951</v>
      </c>
      <c r="G25">
        <f t="shared" si="0"/>
        <v>8.8996788153867037E-3</v>
      </c>
      <c r="H25">
        <f t="shared" si="1"/>
        <v>26699.036446160113</v>
      </c>
      <c r="I25">
        <f t="shared" si="2"/>
        <v>80.097109338480337</v>
      </c>
    </row>
    <row r="26" spans="1:9">
      <c r="A26">
        <v>15</v>
      </c>
      <c r="B26">
        <v>2</v>
      </c>
      <c r="C26">
        <v>27</v>
      </c>
      <c r="D26" t="s">
        <v>880</v>
      </c>
      <c r="E26" t="s">
        <v>31</v>
      </c>
      <c r="F26">
        <v>1830</v>
      </c>
      <c r="G26">
        <f t="shared" si="0"/>
        <v>5.5189468763665421E-3</v>
      </c>
      <c r="H26">
        <f t="shared" si="1"/>
        <v>16556.840629099624</v>
      </c>
      <c r="I26">
        <f t="shared" si="2"/>
        <v>49.670521887298875</v>
      </c>
    </row>
    <row r="27" spans="1:9">
      <c r="A27">
        <v>17</v>
      </c>
      <c r="B27">
        <v>2</v>
      </c>
      <c r="C27">
        <v>27</v>
      </c>
      <c r="D27" t="s">
        <v>34</v>
      </c>
      <c r="E27" t="s">
        <v>35</v>
      </c>
      <c r="F27">
        <v>3111</v>
      </c>
      <c r="G27">
        <f t="shared" si="0"/>
        <v>9.382209689823123E-3</v>
      </c>
      <c r="H27">
        <f t="shared" si="1"/>
        <v>28146.629069469367</v>
      </c>
      <c r="I27">
        <f t="shared" si="2"/>
        <v>84.439887208408095</v>
      </c>
    </row>
    <row r="28" spans="1:9">
      <c r="A28">
        <v>18</v>
      </c>
      <c r="B28">
        <v>2</v>
      </c>
      <c r="C28">
        <v>27</v>
      </c>
      <c r="D28" t="s">
        <v>36</v>
      </c>
      <c r="E28" t="s">
        <v>37</v>
      </c>
      <c r="F28">
        <v>5937</v>
      </c>
      <c r="G28">
        <f t="shared" si="0"/>
        <v>1.7904911259556372E-2</v>
      </c>
      <c r="H28">
        <f t="shared" si="1"/>
        <v>53714.733778669113</v>
      </c>
      <c r="I28">
        <f t="shared" si="2"/>
        <v>161.14420133600734</v>
      </c>
    </row>
    <row r="29" spans="1:9">
      <c r="A29">
        <v>19</v>
      </c>
      <c r="B29">
        <v>2</v>
      </c>
      <c r="C29">
        <v>27</v>
      </c>
      <c r="D29" t="s">
        <v>38</v>
      </c>
      <c r="E29" t="s">
        <v>39</v>
      </c>
      <c r="F29">
        <v>4122</v>
      </c>
      <c r="G29">
        <f t="shared" si="0"/>
        <v>1.2431201652668245E-2</v>
      </c>
      <c r="H29">
        <f t="shared" si="1"/>
        <v>37293.604958004733</v>
      </c>
      <c r="I29">
        <f t="shared" si="2"/>
        <v>111.88081487401421</v>
      </c>
    </row>
    <row r="30" spans="1:9">
      <c r="A30">
        <v>62</v>
      </c>
      <c r="B30">
        <v>2</v>
      </c>
      <c r="C30">
        <v>27</v>
      </c>
      <c r="D30" t="s">
        <v>124</v>
      </c>
      <c r="E30" t="s">
        <v>125</v>
      </c>
      <c r="F30">
        <v>1765</v>
      </c>
      <c r="G30">
        <f t="shared" si="0"/>
        <v>5.322918708626747E-3</v>
      </c>
      <c r="H30">
        <f t="shared" si="1"/>
        <v>15968.756125880242</v>
      </c>
      <c r="I30">
        <f t="shared" si="2"/>
        <v>47.906268377640721</v>
      </c>
    </row>
    <row r="31" spans="1:9">
      <c r="A31">
        <v>7</v>
      </c>
      <c r="B31">
        <v>3</v>
      </c>
      <c r="C31">
        <v>27</v>
      </c>
      <c r="D31" t="s">
        <v>14</v>
      </c>
      <c r="E31" t="s">
        <v>15</v>
      </c>
      <c r="F31">
        <v>1064</v>
      </c>
      <c r="G31">
        <f t="shared" si="0"/>
        <v>3.2088303150021864E-3</v>
      </c>
      <c r="H31">
        <f t="shared" si="1"/>
        <v>9626.4909450065588</v>
      </c>
      <c r="I31">
        <f t="shared" si="2"/>
        <v>28.879472835019676</v>
      </c>
    </row>
    <row r="32" spans="1:9">
      <c r="A32">
        <v>47</v>
      </c>
      <c r="B32">
        <v>3</v>
      </c>
      <c r="C32">
        <v>27</v>
      </c>
      <c r="D32" t="s">
        <v>94</v>
      </c>
      <c r="E32" t="s">
        <v>95</v>
      </c>
      <c r="F32">
        <v>8494</v>
      </c>
      <c r="G32">
        <f t="shared" si="0"/>
        <v>2.5616357796643393E-2</v>
      </c>
      <c r="H32">
        <f t="shared" si="1"/>
        <v>76849.073389930185</v>
      </c>
      <c r="I32">
        <f t="shared" si="2"/>
        <v>230.54722016979056</v>
      </c>
    </row>
    <row r="33" spans="1:9">
      <c r="A33">
        <v>61</v>
      </c>
      <c r="B33">
        <v>3</v>
      </c>
      <c r="C33">
        <v>27</v>
      </c>
      <c r="D33" t="s">
        <v>122</v>
      </c>
      <c r="E33" t="s">
        <v>123</v>
      </c>
      <c r="F33">
        <v>1507</v>
      </c>
      <c r="G33">
        <f t="shared" si="0"/>
        <v>4.5448376735980215E-3</v>
      </c>
      <c r="H33">
        <f t="shared" si="1"/>
        <v>13634.513020794064</v>
      </c>
      <c r="I33">
        <f t="shared" si="2"/>
        <v>40.903539062382187</v>
      </c>
    </row>
    <row r="34" spans="1:9">
      <c r="A34">
        <v>8</v>
      </c>
      <c r="B34">
        <v>1</v>
      </c>
      <c r="C34">
        <v>50</v>
      </c>
      <c r="D34" t="s">
        <v>16</v>
      </c>
      <c r="E34" t="s">
        <v>17</v>
      </c>
      <c r="F34">
        <v>6922</v>
      </c>
      <c r="G34">
        <f t="shared" si="0"/>
        <v>2.0875491955305577E-2</v>
      </c>
      <c r="H34">
        <f t="shared" si="1"/>
        <v>62626.475865916735</v>
      </c>
      <c r="I34">
        <f t="shared" si="2"/>
        <v>187.87942759775021</v>
      </c>
    </row>
    <row r="35" spans="1:9">
      <c r="A35">
        <v>34</v>
      </c>
      <c r="B35">
        <v>1</v>
      </c>
      <c r="C35">
        <v>50</v>
      </c>
      <c r="D35" t="s">
        <v>68</v>
      </c>
      <c r="E35" t="s">
        <v>69</v>
      </c>
      <c r="F35">
        <v>12575</v>
      </c>
      <c r="G35">
        <f t="shared" si="0"/>
        <v>3.7923910912737308E-2</v>
      </c>
      <c r="H35">
        <f t="shared" si="1"/>
        <v>113771.73273821193</v>
      </c>
      <c r="I35">
        <f t="shared" si="2"/>
        <v>341.31519821463576</v>
      </c>
    </row>
    <row r="36" spans="1:9">
      <c r="A36">
        <v>9</v>
      </c>
      <c r="B36">
        <v>2</v>
      </c>
      <c r="C36">
        <v>50</v>
      </c>
      <c r="D36" t="s">
        <v>18</v>
      </c>
      <c r="E36" t="s">
        <v>19</v>
      </c>
      <c r="F36">
        <v>3059</v>
      </c>
      <c r="G36">
        <f t="shared" si="0"/>
        <v>9.2253871556312855E-3</v>
      </c>
      <c r="H36">
        <f t="shared" si="1"/>
        <v>27676.161466893856</v>
      </c>
      <c r="I36">
        <f t="shared" si="2"/>
        <v>83.028484400681563</v>
      </c>
    </row>
    <row r="37" spans="1:9">
      <c r="A37">
        <v>26</v>
      </c>
      <c r="B37">
        <v>2</v>
      </c>
      <c r="C37">
        <v>50</v>
      </c>
      <c r="D37" t="s">
        <v>52</v>
      </c>
      <c r="E37" t="s">
        <v>53</v>
      </c>
      <c r="F37">
        <v>18058</v>
      </c>
      <c r="G37">
        <f t="shared" ref="G37:G68" si="4">F37/$F$81</f>
        <v>5.4459640816080339E-2</v>
      </c>
      <c r="H37">
        <f t="shared" ref="H37:H68" si="5">G37*$E$79</f>
        <v>163378.92244824101</v>
      </c>
      <c r="I37">
        <f t="shared" ref="I37:I68" si="6">(H37*3)/1000</f>
        <v>490.13676734472301</v>
      </c>
    </row>
    <row r="38" spans="1:9">
      <c r="A38">
        <v>24</v>
      </c>
      <c r="B38">
        <v>3</v>
      </c>
      <c r="C38">
        <v>50</v>
      </c>
      <c r="D38" t="s">
        <v>48</v>
      </c>
      <c r="E38" t="s">
        <v>49</v>
      </c>
      <c r="F38">
        <v>6313</v>
      </c>
      <c r="G38">
        <f t="shared" si="4"/>
        <v>1.9038858814481956E-2</v>
      </c>
      <c r="H38">
        <f t="shared" si="5"/>
        <v>57116.576443445869</v>
      </c>
      <c r="I38">
        <f t="shared" si="6"/>
        <v>171.3497293303376</v>
      </c>
    </row>
    <row r="39" spans="1:9">
      <c r="A39">
        <v>25</v>
      </c>
      <c r="B39">
        <v>3</v>
      </c>
      <c r="C39">
        <v>50</v>
      </c>
      <c r="D39" t="s">
        <v>50</v>
      </c>
      <c r="E39" t="s">
        <v>51</v>
      </c>
      <c r="F39">
        <v>2958</v>
      </c>
      <c r="G39">
        <f t="shared" si="4"/>
        <v>8.920789541143297E-3</v>
      </c>
      <c r="H39">
        <f t="shared" si="5"/>
        <v>26762.368623429891</v>
      </c>
      <c r="I39">
        <f t="shared" si="6"/>
        <v>80.287105870289665</v>
      </c>
    </row>
    <row r="40" spans="1:9">
      <c r="A40">
        <v>10</v>
      </c>
      <c r="B40">
        <v>4</v>
      </c>
      <c r="C40">
        <v>50</v>
      </c>
      <c r="D40" t="s">
        <v>20</v>
      </c>
      <c r="E40" t="s">
        <v>21</v>
      </c>
      <c r="F40">
        <v>2135</v>
      </c>
      <c r="G40">
        <f t="shared" si="4"/>
        <v>6.4387713557609661E-3</v>
      </c>
      <c r="H40">
        <f t="shared" si="5"/>
        <v>19316.314067282899</v>
      </c>
      <c r="I40">
        <f t="shared" si="6"/>
        <v>57.948942201848695</v>
      </c>
    </row>
    <row r="41" spans="1:9">
      <c r="A41">
        <v>16</v>
      </c>
      <c r="B41">
        <v>4</v>
      </c>
      <c r="C41">
        <v>50</v>
      </c>
      <c r="D41" t="s">
        <v>881</v>
      </c>
      <c r="E41" t="s">
        <v>33</v>
      </c>
      <c r="F41">
        <v>8189</v>
      </c>
      <c r="G41">
        <f t="shared" si="4"/>
        <v>2.469653331724897E-2</v>
      </c>
      <c r="H41">
        <f t="shared" si="5"/>
        <v>74089.599951746903</v>
      </c>
      <c r="I41">
        <f t="shared" si="6"/>
        <v>222.2687998552407</v>
      </c>
    </row>
    <row r="42" spans="1:9">
      <c r="A42">
        <v>3</v>
      </c>
      <c r="B42">
        <v>1</v>
      </c>
      <c r="C42">
        <v>61</v>
      </c>
      <c r="D42" t="s">
        <v>6</v>
      </c>
      <c r="E42" t="s">
        <v>7</v>
      </c>
      <c r="F42">
        <v>876</v>
      </c>
      <c r="G42">
        <f t="shared" si="4"/>
        <v>2.6418565375393942E-3</v>
      </c>
      <c r="H42">
        <f t="shared" si="5"/>
        <v>7925.5696126181829</v>
      </c>
      <c r="I42">
        <f t="shared" si="6"/>
        <v>23.776708837854549</v>
      </c>
    </row>
    <row r="43" spans="1:9">
      <c r="A43">
        <v>4</v>
      </c>
      <c r="B43">
        <v>1</v>
      </c>
      <c r="C43">
        <v>61</v>
      </c>
      <c r="D43" t="s">
        <v>8</v>
      </c>
      <c r="E43" t="s">
        <v>9</v>
      </c>
      <c r="F43">
        <v>1543</v>
      </c>
      <c r="G43">
        <f t="shared" si="4"/>
        <v>4.6534071203462157E-3</v>
      </c>
      <c r="H43">
        <f t="shared" si="5"/>
        <v>13960.221361038646</v>
      </c>
      <c r="I43">
        <f t="shared" si="6"/>
        <v>41.880664083115938</v>
      </c>
    </row>
    <row r="44" spans="1:9">
      <c r="A44">
        <v>28</v>
      </c>
      <c r="B44">
        <v>1</v>
      </c>
      <c r="C44">
        <v>61</v>
      </c>
      <c r="D44" t="s">
        <v>56</v>
      </c>
      <c r="E44" t="s">
        <v>57</v>
      </c>
      <c r="F44">
        <v>2363</v>
      </c>
      <c r="G44">
        <f t="shared" si="4"/>
        <v>7.1263778518328635E-3</v>
      </c>
      <c r="H44">
        <f t="shared" si="5"/>
        <v>21379.133555498589</v>
      </c>
      <c r="I44">
        <f t="shared" si="6"/>
        <v>64.137400666495765</v>
      </c>
    </row>
    <row r="45" spans="1:9">
      <c r="A45">
        <v>50</v>
      </c>
      <c r="B45">
        <v>1</v>
      </c>
      <c r="C45">
        <v>61</v>
      </c>
      <c r="D45" t="s">
        <v>100</v>
      </c>
      <c r="E45" t="s">
        <v>101</v>
      </c>
      <c r="F45">
        <v>586</v>
      </c>
      <c r="G45">
        <f t="shared" si="4"/>
        <v>1.7672693276233847E-3</v>
      </c>
      <c r="H45">
        <f t="shared" si="5"/>
        <v>5301.8079828701539</v>
      </c>
      <c r="I45">
        <f t="shared" si="6"/>
        <v>15.905423948610462</v>
      </c>
    </row>
    <row r="46" spans="1:9">
      <c r="A46">
        <v>64</v>
      </c>
      <c r="B46">
        <v>1</v>
      </c>
      <c r="C46">
        <v>61</v>
      </c>
      <c r="D46" t="s">
        <v>128</v>
      </c>
      <c r="E46" t="s">
        <v>129</v>
      </c>
      <c r="F46">
        <v>5556</v>
      </c>
      <c r="G46">
        <f t="shared" si="4"/>
        <v>1.675588461480465E-2</v>
      </c>
      <c r="H46">
        <f t="shared" si="5"/>
        <v>50267.653844413951</v>
      </c>
      <c r="I46">
        <f t="shared" si="6"/>
        <v>150.80296153324184</v>
      </c>
    </row>
    <row r="47" spans="1:9">
      <c r="A47">
        <v>5</v>
      </c>
      <c r="B47">
        <v>2</v>
      </c>
      <c r="C47">
        <v>61</v>
      </c>
      <c r="D47" t="s">
        <v>10</v>
      </c>
      <c r="E47" t="s">
        <v>11</v>
      </c>
      <c r="F47">
        <v>6576</v>
      </c>
      <c r="G47">
        <f t="shared" si="4"/>
        <v>1.983201893933682E-2</v>
      </c>
      <c r="H47">
        <f t="shared" si="5"/>
        <v>59496.05681801046</v>
      </c>
      <c r="I47">
        <f t="shared" si="6"/>
        <v>178.48817045403138</v>
      </c>
    </row>
    <row r="48" spans="1:9">
      <c r="A48">
        <v>29</v>
      </c>
      <c r="B48">
        <v>2</v>
      </c>
      <c r="C48">
        <v>61</v>
      </c>
      <c r="D48" t="s">
        <v>58</v>
      </c>
      <c r="E48" t="s">
        <v>59</v>
      </c>
      <c r="F48">
        <v>4054</v>
      </c>
      <c r="G48">
        <f t="shared" si="4"/>
        <v>1.2226126031032767E-2</v>
      </c>
      <c r="H48">
        <f t="shared" si="5"/>
        <v>36678.378093098298</v>
      </c>
      <c r="I48">
        <f t="shared" si="6"/>
        <v>110.03513427929489</v>
      </c>
    </row>
    <row r="49" spans="1:9">
      <c r="A49">
        <v>49</v>
      </c>
      <c r="B49">
        <v>2</v>
      </c>
      <c r="C49">
        <v>61</v>
      </c>
      <c r="D49" t="s">
        <v>98</v>
      </c>
      <c r="E49" t="s">
        <v>99</v>
      </c>
      <c r="F49">
        <v>2299</v>
      </c>
      <c r="G49">
        <f t="shared" si="4"/>
        <v>6.9333655020582955E-3</v>
      </c>
      <c r="H49">
        <f t="shared" si="5"/>
        <v>20800.096506174887</v>
      </c>
      <c r="I49">
        <f t="shared" si="6"/>
        <v>62.400289518524659</v>
      </c>
    </row>
    <row r="50" spans="1:9">
      <c r="A50">
        <v>63</v>
      </c>
      <c r="B50">
        <v>2</v>
      </c>
      <c r="C50">
        <v>61</v>
      </c>
      <c r="D50" t="s">
        <v>126</v>
      </c>
      <c r="E50" t="s">
        <v>127</v>
      </c>
      <c r="F50">
        <v>608</v>
      </c>
      <c r="G50">
        <f t="shared" si="4"/>
        <v>1.8336173228583922E-3</v>
      </c>
      <c r="H50">
        <f t="shared" si="5"/>
        <v>5500.8519685751762</v>
      </c>
      <c r="I50">
        <f t="shared" si="6"/>
        <v>16.502555905725529</v>
      </c>
    </row>
    <row r="51" spans="1:9">
      <c r="A51">
        <v>6</v>
      </c>
      <c r="B51">
        <v>3</v>
      </c>
      <c r="C51">
        <v>61</v>
      </c>
      <c r="D51" t="s">
        <v>12</v>
      </c>
      <c r="E51" t="s">
        <v>13</v>
      </c>
      <c r="F51">
        <v>1932</v>
      </c>
      <c r="G51">
        <f t="shared" si="4"/>
        <v>5.8265603088197594E-3</v>
      </c>
      <c r="H51">
        <f t="shared" si="5"/>
        <v>17479.680926459278</v>
      </c>
      <c r="I51">
        <f t="shared" si="6"/>
        <v>52.439042779377836</v>
      </c>
    </row>
    <row r="52" spans="1:9">
      <c r="A52">
        <v>27</v>
      </c>
      <c r="B52">
        <v>3</v>
      </c>
      <c r="C52">
        <v>61</v>
      </c>
      <c r="D52" t="s">
        <v>54</v>
      </c>
      <c r="E52" t="s">
        <v>55</v>
      </c>
      <c r="F52">
        <v>1225</v>
      </c>
      <c r="G52">
        <f t="shared" si="4"/>
        <v>3.6943770074038332E-3</v>
      </c>
      <c r="H52">
        <f t="shared" si="5"/>
        <v>11083.131022211499</v>
      </c>
      <c r="I52">
        <f t="shared" si="6"/>
        <v>33.249393066634497</v>
      </c>
    </row>
    <row r="53" spans="1:9">
      <c r="A53">
        <v>30</v>
      </c>
      <c r="B53">
        <v>3</v>
      </c>
      <c r="C53">
        <v>61</v>
      </c>
      <c r="D53" t="s">
        <v>882</v>
      </c>
      <c r="E53" t="s">
        <v>61</v>
      </c>
      <c r="F53">
        <v>3020</v>
      </c>
      <c r="G53">
        <f t="shared" si="4"/>
        <v>9.1077702549874091E-3</v>
      </c>
      <c r="H53">
        <f t="shared" si="5"/>
        <v>27323.310764962229</v>
      </c>
      <c r="I53">
        <f t="shared" si="6"/>
        <v>81.969932294886689</v>
      </c>
    </row>
    <row r="54" spans="1:9">
      <c r="A54">
        <v>33</v>
      </c>
      <c r="B54">
        <v>3</v>
      </c>
      <c r="C54">
        <v>61</v>
      </c>
      <c r="D54" t="s">
        <v>66</v>
      </c>
      <c r="E54" t="s">
        <v>67</v>
      </c>
      <c r="F54">
        <v>1144</v>
      </c>
      <c r="G54">
        <f t="shared" si="4"/>
        <v>3.450095752220396E-3</v>
      </c>
      <c r="H54">
        <f t="shared" si="5"/>
        <v>10350.287256661188</v>
      </c>
      <c r="I54">
        <f t="shared" si="6"/>
        <v>31.050861769983563</v>
      </c>
    </row>
    <row r="55" spans="1:9">
      <c r="A55">
        <v>35</v>
      </c>
      <c r="B55">
        <v>3</v>
      </c>
      <c r="C55">
        <v>61</v>
      </c>
      <c r="D55" t="s">
        <v>70</v>
      </c>
      <c r="E55" t="s">
        <v>71</v>
      </c>
      <c r="F55">
        <v>2214</v>
      </c>
      <c r="G55">
        <f t="shared" si="4"/>
        <v>6.6770209750139486E-3</v>
      </c>
      <c r="H55">
        <f t="shared" si="5"/>
        <v>20031.062925041846</v>
      </c>
      <c r="I55">
        <f t="shared" si="6"/>
        <v>60.09318877512554</v>
      </c>
    </row>
    <row r="56" spans="1:9">
      <c r="A56">
        <v>48</v>
      </c>
      <c r="B56">
        <v>3</v>
      </c>
      <c r="C56">
        <v>61</v>
      </c>
      <c r="D56" t="s">
        <v>96</v>
      </c>
      <c r="E56" t="s">
        <v>97</v>
      </c>
      <c r="F56">
        <v>1693</v>
      </c>
      <c r="G56">
        <f t="shared" si="4"/>
        <v>5.1057798151303586E-3</v>
      </c>
      <c r="H56">
        <f t="shared" si="5"/>
        <v>15317.339445391075</v>
      </c>
      <c r="I56">
        <f t="shared" si="6"/>
        <v>45.952018336173225</v>
      </c>
    </row>
    <row r="57" spans="1:9">
      <c r="A57">
        <v>53</v>
      </c>
      <c r="B57">
        <v>3</v>
      </c>
      <c r="C57">
        <v>61</v>
      </c>
      <c r="D57" t="s">
        <v>106</v>
      </c>
      <c r="E57" t="s">
        <v>107</v>
      </c>
      <c r="F57">
        <v>51</v>
      </c>
      <c r="G57">
        <f t="shared" si="4"/>
        <v>1.5380671622660855E-4</v>
      </c>
      <c r="H57">
        <f t="shared" si="5"/>
        <v>461.42014867982567</v>
      </c>
      <c r="I57">
        <f t="shared" si="6"/>
        <v>1.3842604460394772</v>
      </c>
    </row>
    <row r="58" spans="1:9">
      <c r="A58">
        <v>31</v>
      </c>
      <c r="B58">
        <v>1</v>
      </c>
      <c r="C58">
        <v>76</v>
      </c>
      <c r="D58" t="s">
        <v>62</v>
      </c>
      <c r="E58" t="s">
        <v>63</v>
      </c>
      <c r="F58">
        <v>3141</v>
      </c>
      <c r="G58">
        <f t="shared" si="4"/>
        <v>9.4726842287799502E-3</v>
      </c>
      <c r="H58">
        <f t="shared" si="5"/>
        <v>28418.052686339852</v>
      </c>
      <c r="I58">
        <f t="shared" si="6"/>
        <v>85.254158059019545</v>
      </c>
    </row>
    <row r="59" spans="1:9">
      <c r="A59">
        <v>39</v>
      </c>
      <c r="B59">
        <v>1</v>
      </c>
      <c r="C59">
        <v>76</v>
      </c>
      <c r="D59" t="s">
        <v>78</v>
      </c>
      <c r="E59" t="s">
        <v>79</v>
      </c>
      <c r="F59">
        <v>2004</v>
      </c>
      <c r="G59">
        <f t="shared" si="4"/>
        <v>6.0436992023161478E-3</v>
      </c>
      <c r="H59">
        <f t="shared" si="5"/>
        <v>18131.097606948442</v>
      </c>
      <c r="I59">
        <f t="shared" si="6"/>
        <v>54.393292820845325</v>
      </c>
    </row>
    <row r="60" spans="1:9">
      <c r="A60">
        <v>40</v>
      </c>
      <c r="B60">
        <v>1</v>
      </c>
      <c r="C60">
        <v>76</v>
      </c>
      <c r="D60" t="s">
        <v>80</v>
      </c>
      <c r="E60" t="s">
        <v>81</v>
      </c>
      <c r="F60">
        <v>3572</v>
      </c>
      <c r="G60">
        <f t="shared" si="4"/>
        <v>1.0772501771793055E-2</v>
      </c>
      <c r="H60">
        <f t="shared" si="5"/>
        <v>32317.505315379167</v>
      </c>
      <c r="I60">
        <f t="shared" si="6"/>
        <v>96.952515946137495</v>
      </c>
    </row>
    <row r="61" spans="1:9">
      <c r="A61">
        <v>42</v>
      </c>
      <c r="B61">
        <v>1</v>
      </c>
      <c r="C61">
        <v>76</v>
      </c>
      <c r="D61" t="s">
        <v>84</v>
      </c>
      <c r="E61" t="s">
        <v>85</v>
      </c>
      <c r="F61">
        <v>2530</v>
      </c>
      <c r="G61">
        <f t="shared" si="4"/>
        <v>7.630019452025876E-3</v>
      </c>
      <c r="H61">
        <f t="shared" si="5"/>
        <v>22890.058356077629</v>
      </c>
      <c r="I61">
        <f t="shared" si="6"/>
        <v>68.670175068232879</v>
      </c>
    </row>
    <row r="62" spans="1:9">
      <c r="A62">
        <v>44</v>
      </c>
      <c r="B62">
        <v>1</v>
      </c>
      <c r="C62">
        <v>76</v>
      </c>
      <c r="D62" t="s">
        <v>88</v>
      </c>
      <c r="E62" t="s">
        <v>89</v>
      </c>
      <c r="F62">
        <v>2636</v>
      </c>
      <c r="G62">
        <f t="shared" si="4"/>
        <v>7.9496961563400026E-3</v>
      </c>
      <c r="H62">
        <f t="shared" si="5"/>
        <v>23849.088469020007</v>
      </c>
      <c r="I62">
        <f t="shared" si="6"/>
        <v>71.547265407060024</v>
      </c>
    </row>
    <row r="63" spans="1:9">
      <c r="A63">
        <v>66</v>
      </c>
      <c r="B63">
        <v>1</v>
      </c>
      <c r="C63">
        <v>76</v>
      </c>
      <c r="D63" t="s">
        <v>132</v>
      </c>
      <c r="E63" t="s">
        <v>133</v>
      </c>
      <c r="F63">
        <v>2491</v>
      </c>
      <c r="G63">
        <f t="shared" si="4"/>
        <v>7.5124025513819987E-3</v>
      </c>
      <c r="H63">
        <f t="shared" si="5"/>
        <v>22537.207654145997</v>
      </c>
      <c r="I63">
        <f t="shared" si="6"/>
        <v>67.611622962437991</v>
      </c>
    </row>
    <row r="64" spans="1:9">
      <c r="A64">
        <v>67</v>
      </c>
      <c r="B64">
        <v>1</v>
      </c>
      <c r="C64">
        <v>76</v>
      </c>
      <c r="D64" t="s">
        <v>883</v>
      </c>
      <c r="E64" t="s">
        <v>135</v>
      </c>
      <c r="F64">
        <v>572</v>
      </c>
      <c r="G64">
        <f t="shared" si="4"/>
        <v>1.725047876110198E-3</v>
      </c>
      <c r="H64">
        <f t="shared" si="5"/>
        <v>5175.1436283305939</v>
      </c>
      <c r="I64">
        <f t="shared" si="6"/>
        <v>15.525430884991781</v>
      </c>
    </row>
    <row r="65" spans="1:9">
      <c r="A65">
        <v>70</v>
      </c>
      <c r="B65">
        <v>1</v>
      </c>
      <c r="C65">
        <v>76</v>
      </c>
      <c r="D65" t="s">
        <v>140</v>
      </c>
      <c r="E65" t="s">
        <v>141</v>
      </c>
      <c r="F65">
        <v>1870</v>
      </c>
      <c r="G65">
        <f t="shared" si="4"/>
        <v>5.6395795949756473E-3</v>
      </c>
      <c r="H65">
        <f t="shared" si="5"/>
        <v>16918.738784926943</v>
      </c>
      <c r="I65">
        <f t="shared" si="6"/>
        <v>50.756216354780832</v>
      </c>
    </row>
    <row r="66" spans="1:9">
      <c r="A66">
        <v>71</v>
      </c>
      <c r="B66">
        <v>1</v>
      </c>
      <c r="C66">
        <v>76</v>
      </c>
      <c r="D66" t="s">
        <v>142</v>
      </c>
      <c r="E66" t="s">
        <v>143</v>
      </c>
      <c r="F66">
        <v>5793</v>
      </c>
      <c r="G66">
        <f t="shared" si="4"/>
        <v>1.7470633472563595E-2</v>
      </c>
      <c r="H66">
        <f t="shared" si="5"/>
        <v>52411.900417690784</v>
      </c>
      <c r="I66">
        <f t="shared" si="6"/>
        <v>157.23570125307236</v>
      </c>
    </row>
    <row r="67" spans="1:9">
      <c r="A67">
        <v>1</v>
      </c>
      <c r="B67">
        <v>2</v>
      </c>
      <c r="C67">
        <v>76</v>
      </c>
      <c r="D67" t="s">
        <v>2</v>
      </c>
      <c r="E67" t="s">
        <v>3</v>
      </c>
      <c r="F67">
        <v>6596</v>
      </c>
      <c r="G67">
        <f t="shared" si="4"/>
        <v>1.9892335298641373E-2</v>
      </c>
      <c r="H67">
        <f t="shared" si="5"/>
        <v>59677.005895924121</v>
      </c>
      <c r="I67">
        <f t="shared" si="6"/>
        <v>179.03101768777236</v>
      </c>
    </row>
    <row r="68" spans="1:9">
      <c r="A68">
        <v>41</v>
      </c>
      <c r="B68">
        <v>2</v>
      </c>
      <c r="C68">
        <v>76</v>
      </c>
      <c r="D68" t="s">
        <v>884</v>
      </c>
      <c r="E68" t="s">
        <v>83</v>
      </c>
      <c r="F68">
        <v>4141</v>
      </c>
      <c r="G68">
        <f t="shared" si="4"/>
        <v>1.2488502194007569E-2</v>
      </c>
      <c r="H68">
        <f t="shared" si="5"/>
        <v>37465.50658202271</v>
      </c>
      <c r="I68">
        <f t="shared" si="6"/>
        <v>112.39651974606814</v>
      </c>
    </row>
    <row r="69" spans="1:9">
      <c r="A69">
        <v>54</v>
      </c>
      <c r="B69">
        <v>2</v>
      </c>
      <c r="C69">
        <v>76</v>
      </c>
      <c r="D69" t="s">
        <v>885</v>
      </c>
      <c r="E69" t="s">
        <v>109</v>
      </c>
      <c r="F69">
        <v>25120</v>
      </c>
      <c r="G69">
        <f t="shared" ref="G69:G100" si="7">F69/$F$81</f>
        <v>7.5757347286517784E-2</v>
      </c>
      <c r="H69">
        <f t="shared" ref="H69:H100" si="8">G69*$E$79</f>
        <v>227272.04185955334</v>
      </c>
      <c r="I69">
        <f t="shared" ref="I69:I100" si="9">(H69*3)/1000</f>
        <v>681.81612557866003</v>
      </c>
    </row>
    <row r="70" spans="1:9">
      <c r="A70">
        <v>65</v>
      </c>
      <c r="B70">
        <v>2</v>
      </c>
      <c r="C70">
        <v>76</v>
      </c>
      <c r="D70" t="s">
        <v>130</v>
      </c>
      <c r="E70" t="s">
        <v>131</v>
      </c>
      <c r="F70">
        <v>982</v>
      </c>
      <c r="G70">
        <f t="shared" si="7"/>
        <v>2.9615332418535217E-3</v>
      </c>
      <c r="H70">
        <f t="shared" si="8"/>
        <v>8884.5997255605653</v>
      </c>
      <c r="I70">
        <f t="shared" si="9"/>
        <v>26.653799176681694</v>
      </c>
    </row>
    <row r="71" spans="1:9">
      <c r="A71">
        <v>1</v>
      </c>
      <c r="B71">
        <v>3</v>
      </c>
      <c r="C71">
        <v>76</v>
      </c>
      <c r="D71" t="s">
        <v>4</v>
      </c>
      <c r="E71" t="s">
        <v>5</v>
      </c>
      <c r="F71">
        <v>43970</v>
      </c>
      <c r="G71">
        <f t="shared" si="7"/>
        <v>0.1326055159310584</v>
      </c>
      <c r="H71">
        <f t="shared" si="8"/>
        <v>397816.54779317521</v>
      </c>
      <c r="I71">
        <f t="shared" si="9"/>
        <v>1193.4496433795257</v>
      </c>
    </row>
    <row r="72" spans="1:9">
      <c r="A72">
        <v>43</v>
      </c>
      <c r="B72">
        <v>3</v>
      </c>
      <c r="C72">
        <v>76</v>
      </c>
      <c r="D72" t="s">
        <v>86</v>
      </c>
      <c r="E72" t="s">
        <v>87</v>
      </c>
      <c r="F72">
        <v>1550</v>
      </c>
      <c r="G72">
        <f t="shared" si="7"/>
        <v>4.6745178461028089E-3</v>
      </c>
      <c r="H72">
        <f t="shared" si="8"/>
        <v>14023.553538308426</v>
      </c>
      <c r="I72">
        <f t="shared" si="9"/>
        <v>42.070660614925274</v>
      </c>
    </row>
    <row r="73" spans="1:9">
      <c r="A73">
        <v>46</v>
      </c>
      <c r="B73">
        <v>3</v>
      </c>
      <c r="C73">
        <v>76</v>
      </c>
      <c r="D73" t="s">
        <v>92</v>
      </c>
      <c r="E73" t="s">
        <v>93</v>
      </c>
      <c r="F73">
        <v>4356</v>
      </c>
      <c r="G73">
        <f t="shared" si="7"/>
        <v>1.3136903056531507E-2</v>
      </c>
      <c r="H73">
        <f t="shared" si="8"/>
        <v>39410.70916959452</v>
      </c>
      <c r="I73">
        <f t="shared" si="9"/>
        <v>118.23212750878356</v>
      </c>
    </row>
    <row r="74" spans="1:9">
      <c r="A74">
        <v>68</v>
      </c>
      <c r="B74">
        <v>3</v>
      </c>
      <c r="C74">
        <v>76</v>
      </c>
      <c r="D74" t="s">
        <v>136</v>
      </c>
      <c r="E74" t="s">
        <v>137</v>
      </c>
      <c r="F74">
        <v>2535</v>
      </c>
      <c r="G74">
        <f t="shared" si="7"/>
        <v>7.6450985418520141E-3</v>
      </c>
      <c r="H74">
        <f t="shared" si="8"/>
        <v>22935.295625556042</v>
      </c>
      <c r="I74">
        <f t="shared" si="9"/>
        <v>68.805886876668126</v>
      </c>
    </row>
    <row r="75" spans="1:9">
      <c r="A75">
        <v>69</v>
      </c>
      <c r="B75">
        <v>3</v>
      </c>
      <c r="C75">
        <v>76</v>
      </c>
      <c r="D75" t="s">
        <v>138</v>
      </c>
      <c r="E75" t="s">
        <v>139</v>
      </c>
      <c r="F75">
        <v>2024</v>
      </c>
      <c r="G75">
        <f t="shared" si="7"/>
        <v>6.1040155616207004E-3</v>
      </c>
      <c r="H75">
        <f t="shared" si="8"/>
        <v>18312.0466848621</v>
      </c>
      <c r="I75">
        <f t="shared" si="9"/>
        <v>54.936140054586296</v>
      </c>
    </row>
    <row r="78" spans="1:9" hidden="1"/>
    <row r="79" spans="1:9" hidden="1">
      <c r="D79" t="s">
        <v>309</v>
      </c>
      <c r="E79">
        <v>3000000</v>
      </c>
    </row>
    <row r="80" spans="1:9" hidden="1"/>
    <row r="81" spans="5:9">
      <c r="E81" s="85" t="s">
        <v>154</v>
      </c>
      <c r="F81" s="126">
        <f>SUM(F5:F75)</f>
        <v>331585</v>
      </c>
      <c r="G81" s="126">
        <f t="shared" ref="G81:I81" si="10">SUM(G5:G75)</f>
        <v>1.0000000000000002</v>
      </c>
      <c r="H81" s="126">
        <f t="shared" si="10"/>
        <v>3000000.0000000005</v>
      </c>
      <c r="I81" s="126">
        <f t="shared" si="10"/>
        <v>8999.9999999999964</v>
      </c>
    </row>
  </sheetData>
  <sheetProtection sheet="1" objects="1" scenarios="1"/>
  <sortState xmlns:xlrd2="http://schemas.microsoft.com/office/spreadsheetml/2017/richdata2" ref="A5:O75">
    <sortCondition ref="A5:A75"/>
  </sortState>
  <mergeCells count="4">
    <mergeCell ref="L3:O3"/>
    <mergeCell ref="A3:C3"/>
    <mergeCell ref="D3:E3"/>
    <mergeCell ref="F3:I3"/>
  </mergeCells>
  <pageMargins left="0.7" right="0.7" top="0.75" bottom="0.75" header="0.3" footer="0.3"/>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915F1-3FD1-4D8D-8CF2-2740A5656977}">
  <sheetPr codeName="Feuil15"/>
  <dimension ref="A1:AV201"/>
  <sheetViews>
    <sheetView topLeftCell="W1" zoomScale="70" zoomScaleNormal="70" workbookViewId="0">
      <selection activeCell="AF24" sqref="AF24"/>
    </sheetView>
  </sheetViews>
  <sheetFormatPr baseColWidth="10" defaultRowHeight="15.75"/>
  <cols>
    <col min="2" max="2" width="15.375" customWidth="1"/>
    <col min="3" max="3" width="13.25" customWidth="1"/>
    <col min="4" max="4" width="19.75" customWidth="1"/>
    <col min="6" max="6" width="15.75" customWidth="1"/>
    <col min="7" max="7" width="14.25" customWidth="1"/>
    <col min="8" max="8" width="12.875" customWidth="1"/>
    <col min="9" max="9" width="17.5" customWidth="1"/>
    <col min="10" max="10" width="12.875" customWidth="1"/>
    <col min="11" max="11" width="14.125" bestFit="1" customWidth="1"/>
    <col min="12" max="12" width="18.375" customWidth="1"/>
    <col min="13" max="13" width="25.125" customWidth="1"/>
    <col min="14" max="14" width="16.25" customWidth="1"/>
    <col min="15" max="15" width="26.75" customWidth="1"/>
    <col min="16" max="16" width="16" customWidth="1"/>
    <col min="17" max="17" width="32" customWidth="1"/>
    <col min="18" max="18" width="17.75" customWidth="1"/>
    <col min="19" max="19" width="12.125" customWidth="1"/>
    <col min="20" max="20" width="19.25" customWidth="1"/>
    <col min="21" max="21" width="26" customWidth="1"/>
    <col min="22" max="22" width="17.125" customWidth="1"/>
    <col min="23" max="23" width="27.625" customWidth="1"/>
    <col min="24" max="24" width="16.25" customWidth="1"/>
    <col min="25" max="25" width="14" customWidth="1"/>
    <col min="26" max="26" width="19" customWidth="1"/>
  </cols>
  <sheetData>
    <row r="1" spans="1:45">
      <c r="D1" s="85" t="s">
        <v>659</v>
      </c>
    </row>
    <row r="2" spans="1:45">
      <c r="A2" s="147" t="s">
        <v>666</v>
      </c>
      <c r="B2" s="147"/>
      <c r="C2" s="147"/>
      <c r="D2" s="147"/>
      <c r="E2" s="147"/>
      <c r="F2" s="134" t="s">
        <v>659</v>
      </c>
      <c r="G2" s="134"/>
      <c r="H2" s="134"/>
      <c r="I2" s="134"/>
      <c r="J2" s="134"/>
      <c r="K2" s="134"/>
      <c r="L2" s="134"/>
      <c r="M2" s="134"/>
      <c r="N2" s="134"/>
      <c r="O2" s="134"/>
      <c r="P2" s="134"/>
      <c r="Q2" s="134"/>
      <c r="R2" s="134"/>
      <c r="S2" s="134"/>
      <c r="T2" s="134"/>
      <c r="U2" s="134"/>
      <c r="V2" s="134"/>
      <c r="W2" s="134"/>
      <c r="X2" s="134"/>
      <c r="Y2" s="134"/>
      <c r="Z2" s="134"/>
    </row>
    <row r="3" spans="1:45" ht="15.75" customHeight="1">
      <c r="A3" s="148" t="s">
        <v>647</v>
      </c>
      <c r="B3" s="148"/>
      <c r="C3" s="148"/>
      <c r="D3" s="148" t="s">
        <v>153</v>
      </c>
      <c r="E3" s="148"/>
      <c r="F3" s="149" t="s">
        <v>665</v>
      </c>
      <c r="G3" s="150"/>
      <c r="H3" s="150"/>
      <c r="I3" s="150"/>
      <c r="J3" s="151"/>
      <c r="K3" s="147" t="s">
        <v>857</v>
      </c>
      <c r="L3" s="147"/>
      <c r="M3" s="147"/>
      <c r="N3" s="147"/>
      <c r="O3" s="147"/>
      <c r="P3" s="147"/>
      <c r="Q3" s="147"/>
      <c r="R3" s="147"/>
      <c r="S3" s="150" t="s">
        <v>865</v>
      </c>
      <c r="T3" s="150"/>
      <c r="U3" s="150"/>
      <c r="V3" s="150"/>
      <c r="W3" s="150"/>
      <c r="X3" s="150"/>
      <c r="Y3" s="150"/>
      <c r="Z3" s="150"/>
      <c r="AC3" s="143" t="s">
        <v>461</v>
      </c>
      <c r="AD3" s="143"/>
      <c r="AE3" s="143"/>
      <c r="AF3" s="143"/>
      <c r="AG3" s="143"/>
      <c r="AH3" s="143"/>
      <c r="AI3" s="143"/>
      <c r="AJ3" s="143"/>
      <c r="AM3" s="143" t="s">
        <v>450</v>
      </c>
      <c r="AN3" s="143"/>
      <c r="AO3" s="143"/>
      <c r="AP3" s="143"/>
      <c r="AQ3" s="143"/>
      <c r="AR3" s="143"/>
      <c r="AS3" s="143"/>
    </row>
    <row r="4" spans="1:45" s="98" customFormat="1" ht="75">
      <c r="A4" s="96" t="s">
        <v>152</v>
      </c>
      <c r="B4" s="96" t="s">
        <v>144</v>
      </c>
      <c r="C4" s="96" t="s">
        <v>145</v>
      </c>
      <c r="D4" s="96" t="s">
        <v>0</v>
      </c>
      <c r="E4" s="96" t="s">
        <v>1</v>
      </c>
      <c r="F4" s="96" t="s">
        <v>146</v>
      </c>
      <c r="G4" s="97" t="s">
        <v>148</v>
      </c>
      <c r="H4" s="97" t="s">
        <v>149</v>
      </c>
      <c r="I4" s="96" t="s">
        <v>629</v>
      </c>
      <c r="J4" s="96" t="s">
        <v>630</v>
      </c>
      <c r="K4" s="103" t="s">
        <v>858</v>
      </c>
      <c r="L4" s="103" t="s">
        <v>864</v>
      </c>
      <c r="M4" s="103" t="s">
        <v>863</v>
      </c>
      <c r="N4" s="103" t="s">
        <v>862</v>
      </c>
      <c r="O4" s="103" t="s">
        <v>861</v>
      </c>
      <c r="P4" s="103" t="s">
        <v>860</v>
      </c>
      <c r="Q4" s="103" t="s">
        <v>859</v>
      </c>
      <c r="R4" s="103" t="s">
        <v>356</v>
      </c>
      <c r="S4" s="103" t="s">
        <v>866</v>
      </c>
      <c r="T4" s="103" t="s">
        <v>867</v>
      </c>
      <c r="U4" s="103" t="s">
        <v>869</v>
      </c>
      <c r="V4" s="103" t="s">
        <v>870</v>
      </c>
      <c r="W4" s="103" t="s">
        <v>871</v>
      </c>
      <c r="X4" s="103" t="s">
        <v>872</v>
      </c>
      <c r="Y4" s="103" t="s">
        <v>873</v>
      </c>
      <c r="Z4" s="103" t="s">
        <v>868</v>
      </c>
      <c r="AC4" s="53" t="s">
        <v>386</v>
      </c>
      <c r="AD4" s="53" t="s">
        <v>636</v>
      </c>
      <c r="AE4" s="53" t="s">
        <v>457</v>
      </c>
      <c r="AF4" s="53" t="s">
        <v>456</v>
      </c>
      <c r="AG4" s="53" t="s">
        <v>455</v>
      </c>
      <c r="AH4" s="53" t="s">
        <v>454</v>
      </c>
      <c r="AI4" s="53" t="s">
        <v>453</v>
      </c>
      <c r="AJ4" s="53" t="s">
        <v>452</v>
      </c>
      <c r="AM4" s="53" t="s">
        <v>386</v>
      </c>
      <c r="AN4" s="53" t="s">
        <v>181</v>
      </c>
      <c r="AO4" s="53" t="s">
        <v>205</v>
      </c>
      <c r="AP4" s="53" t="s">
        <v>200</v>
      </c>
      <c r="AQ4" s="53" t="s">
        <v>196</v>
      </c>
      <c r="AR4" s="53" t="s">
        <v>191</v>
      </c>
      <c r="AS4" s="53" t="s">
        <v>230</v>
      </c>
    </row>
    <row r="5" spans="1:45">
      <c r="A5">
        <v>22</v>
      </c>
      <c r="B5">
        <v>1</v>
      </c>
      <c r="C5">
        <v>14</v>
      </c>
      <c r="D5" t="s">
        <v>44</v>
      </c>
      <c r="E5" t="s">
        <v>45</v>
      </c>
      <c r="F5">
        <v>26438</v>
      </c>
      <c r="G5" s="93">
        <v>742.97859379509816</v>
      </c>
      <c r="H5" s="93">
        <v>682.39521383510362</v>
      </c>
      <c r="I5" s="91">
        <f t="shared" ref="I5:I36" si="0">G5*F5</f>
        <v>19642868.062754806</v>
      </c>
      <c r="J5">
        <f t="shared" ref="J5:J36" si="1">I5/$I$79</f>
        <v>8.7641148708149704E-3</v>
      </c>
      <c r="K5" s="92">
        <f t="shared" ref="K5:Q14" si="2">$J5*K$79*1000</f>
        <v>24.364239340865616</v>
      </c>
      <c r="L5" s="92">
        <f t="shared" si="2"/>
        <v>1489.899528038545</v>
      </c>
      <c r="M5" s="92">
        <f t="shared" si="2"/>
        <v>89.691951587920414</v>
      </c>
      <c r="N5" s="92">
        <f t="shared" si="2"/>
        <v>499.55454763645332</v>
      </c>
      <c r="O5" s="92">
        <f t="shared" si="2"/>
        <v>1025.4014398853515</v>
      </c>
      <c r="P5" s="92">
        <f t="shared" si="2"/>
        <v>30.674402047852396</v>
      </c>
      <c r="Q5" s="92">
        <f t="shared" si="2"/>
        <v>8263.5038967719884</v>
      </c>
      <c r="R5" s="92">
        <f t="shared" ref="R5:R36" si="3">$J5*R$79</f>
        <v>302.9443629875891</v>
      </c>
      <c r="S5" s="92">
        <f>Tableau14[[#This Row],[KUVC - Cidre]]*T$109</f>
        <v>19.491391472692495</v>
      </c>
      <c r="T5" s="92">
        <f>Tableau14[[#This Row],[KUVC - Bière, panaché]]*U$109</f>
        <v>1191.9196224308359</v>
      </c>
      <c r="U5" s="92">
        <f>Tableau14[[#This Row],[KUVC - Champagne / Mousseux]]*V$109</f>
        <v>17.938390317584084</v>
      </c>
      <c r="V5" s="92">
        <f>Tableau14[[#This Row],[KUVC - Jus / Nectar]]*W$109</f>
        <v>62.444318454556665</v>
      </c>
      <c r="W5" s="92">
        <f>Tableau14[[#This Row],[KUVC autres boissons sans alcool]]*X$109</f>
        <v>128.17517998566893</v>
      </c>
      <c r="X5" s="92">
        <f>Tableau14[[#This Row],[KUVC miel ]]*Y$109</f>
        <v>10.736040716748338</v>
      </c>
      <c r="Y5" s="92">
        <f>Tableau14[[#This Row],[KUVC Ind. Lait]]*Z$109</f>
        <v>1032.9379870964985</v>
      </c>
      <c r="Z5" s="92">
        <f>Tableau14[[#This Row],[KUVC fermiers]]*AA$109</f>
        <v>106.03052704565619</v>
      </c>
      <c r="AC5" s="52" t="s">
        <v>448</v>
      </c>
      <c r="AD5" s="10">
        <v>61.661999999999999</v>
      </c>
      <c r="AE5" s="68">
        <v>7.5</v>
      </c>
      <c r="AF5" s="68">
        <v>20</v>
      </c>
      <c r="AG5" s="16">
        <f>$AD5*(AE5/100)</f>
        <v>4.6246499999999999</v>
      </c>
      <c r="AH5" s="14">
        <f>$AD5*(AF5/100)</f>
        <v>12.3324</v>
      </c>
      <c r="AI5" s="68">
        <f t="shared" ref="AI5:AI20" si="4">(AG5/$AG$21)*100</f>
        <v>2.624418616714888</v>
      </c>
      <c r="AJ5" s="68">
        <f t="shared" ref="AJ5:AJ20" si="5">(AH5/$AH$21)*100</f>
        <v>2.8167418104472284</v>
      </c>
      <c r="AM5" s="52" t="s">
        <v>448</v>
      </c>
      <c r="AN5" s="16">
        <f t="shared" ref="AN5:AN20" si="6">$AD5*AA$103</f>
        <v>14.342348169397262</v>
      </c>
      <c r="AO5" s="16">
        <f t="shared" ref="AO5:AO20" si="7">$AD5*AD$103</f>
        <v>10.286718655916134</v>
      </c>
      <c r="AP5" s="16">
        <f t="shared" ref="AP5:AP20" si="8">$AD5*AE$103</f>
        <v>10.034898622520004</v>
      </c>
      <c r="AQ5" s="16">
        <f t="shared" ref="AQ5:AQ20" si="9">$AD5*AF$103</f>
        <v>4.6428438990009848</v>
      </c>
      <c r="AR5" s="16">
        <f t="shared" ref="AR5:AR20" si="10">$AD5*AG$103</f>
        <v>22.355190653165614</v>
      </c>
      <c r="AS5" s="10">
        <f>SUM(AN5:AR5)</f>
        <v>61.661999999999999</v>
      </c>
    </row>
    <row r="6" spans="1:45">
      <c r="A6">
        <v>36</v>
      </c>
      <c r="B6">
        <v>1</v>
      </c>
      <c r="C6">
        <v>14</v>
      </c>
      <c r="D6" t="s">
        <v>72</v>
      </c>
      <c r="E6" t="s">
        <v>73</v>
      </c>
      <c r="F6">
        <v>17303</v>
      </c>
      <c r="G6" s="93">
        <v>922.57622827369039</v>
      </c>
      <c r="H6" s="93">
        <v>694.35272352832465</v>
      </c>
      <c r="I6" s="91">
        <f t="shared" si="0"/>
        <v>15963336.477819664</v>
      </c>
      <c r="J6">
        <f t="shared" si="1"/>
        <v>7.1224076935260724E-3</v>
      </c>
      <c r="K6" s="92">
        <f t="shared" si="2"/>
        <v>19.80029338800248</v>
      </c>
      <c r="L6" s="92">
        <f t="shared" si="2"/>
        <v>1210.8093078994323</v>
      </c>
      <c r="M6" s="92">
        <f t="shared" si="2"/>
        <v>72.890720335545822</v>
      </c>
      <c r="N6" s="92">
        <f t="shared" si="2"/>
        <v>405.97723853098609</v>
      </c>
      <c r="O6" s="92">
        <f t="shared" si="2"/>
        <v>833.32170014255053</v>
      </c>
      <c r="P6" s="92">
        <f t="shared" si="2"/>
        <v>24.928426927341253</v>
      </c>
      <c r="Q6" s="92">
        <f t="shared" si="2"/>
        <v>6715.5719199717087</v>
      </c>
      <c r="R6" s="92">
        <f t="shared" si="3"/>
        <v>246.19636933769638</v>
      </c>
      <c r="S6" s="92">
        <f>Tableau14[[#This Row],[KUVC - Cidre]]*T$109</f>
        <v>15.840234710401985</v>
      </c>
      <c r="T6" s="92">
        <f>Tableau14[[#This Row],[KUVC - Bière, panaché]]*U$109</f>
        <v>968.64744631954591</v>
      </c>
      <c r="U6" s="92">
        <f>Tableau14[[#This Row],[KUVC - Champagne / Mousseux]]*V$109</f>
        <v>14.578144067109164</v>
      </c>
      <c r="V6" s="92">
        <f>Tableau14[[#This Row],[KUVC - Jus / Nectar]]*W$109</f>
        <v>50.747154816373261</v>
      </c>
      <c r="W6" s="92">
        <f>Tableau14[[#This Row],[KUVC autres boissons sans alcool]]*X$109</f>
        <v>104.16521251781882</v>
      </c>
      <c r="X6" s="92">
        <f>Tableau14[[#This Row],[KUVC miel ]]*Y$109</f>
        <v>8.7249494245694379</v>
      </c>
      <c r="Y6" s="92">
        <f>Tableau14[[#This Row],[KUVC Ind. Lait]]*Z$109</f>
        <v>839.44648999646358</v>
      </c>
      <c r="Z6" s="92">
        <f>Tableau14[[#This Row],[KUVC fermiers]]*AA$109</f>
        <v>86.168729268193729</v>
      </c>
      <c r="AC6" s="52" t="s">
        <v>447</v>
      </c>
      <c r="AD6" s="10">
        <v>2.7778</v>
      </c>
      <c r="AE6" s="68">
        <v>35</v>
      </c>
      <c r="AF6" s="68">
        <v>80</v>
      </c>
      <c r="AG6" s="16">
        <f t="shared" ref="AG6:AG20" si="11">AD6*(AE6/100)</f>
        <v>0.97222999999999993</v>
      </c>
      <c r="AH6" s="14">
        <f t="shared" ref="AH6:AH20" si="12">$AD6*(AF6/100)</f>
        <v>2.2222400000000002</v>
      </c>
      <c r="AI6" s="68">
        <f t="shared" si="4"/>
        <v>0.55172575475521735</v>
      </c>
      <c r="AJ6" s="68">
        <f t="shared" si="5"/>
        <v>0.50756351730792459</v>
      </c>
      <c r="AM6" s="52" t="s">
        <v>447</v>
      </c>
      <c r="AN6" s="16">
        <f t="shared" si="6"/>
        <v>0.64610578224760329</v>
      </c>
      <c r="AO6" s="16">
        <f t="shared" si="7"/>
        <v>0.46340448059426942</v>
      </c>
      <c r="AP6" s="16">
        <f t="shared" si="8"/>
        <v>0.45206028662119407</v>
      </c>
      <c r="AQ6" s="16">
        <f t="shared" si="9"/>
        <v>0.20915461358121593</v>
      </c>
      <c r="AR6" s="16">
        <f t="shared" si="10"/>
        <v>1.0070748369557174</v>
      </c>
      <c r="AS6" s="10">
        <f t="shared" ref="AS6:AS20" si="13">SUM(AN6:AR6)</f>
        <v>2.7778</v>
      </c>
    </row>
    <row r="7" spans="1:45" ht="30">
      <c r="A7">
        <v>58</v>
      </c>
      <c r="B7">
        <v>1</v>
      </c>
      <c r="C7">
        <v>14</v>
      </c>
      <c r="D7" t="s">
        <v>116</v>
      </c>
      <c r="E7" t="s">
        <v>117</v>
      </c>
      <c r="F7">
        <v>29775</v>
      </c>
      <c r="G7" s="93">
        <v>742.97859379509816</v>
      </c>
      <c r="H7" s="93">
        <v>682.39521383510362</v>
      </c>
      <c r="I7" s="91">
        <f t="shared" si="0"/>
        <v>22122187.63024905</v>
      </c>
      <c r="J7">
        <f t="shared" si="1"/>
        <v>9.8703200044827806E-3</v>
      </c>
      <c r="K7" s="92">
        <f t="shared" si="2"/>
        <v>27.439489612462125</v>
      </c>
      <c r="L7" s="92">
        <f t="shared" si="2"/>
        <v>1677.9544007620727</v>
      </c>
      <c r="M7" s="92">
        <f t="shared" si="2"/>
        <v>101.01285492587678</v>
      </c>
      <c r="N7" s="92">
        <f t="shared" si="2"/>
        <v>562.60824025551847</v>
      </c>
      <c r="O7" s="92">
        <f t="shared" si="2"/>
        <v>1154.8274405244854</v>
      </c>
      <c r="P7" s="92">
        <f t="shared" si="2"/>
        <v>34.546120015689731</v>
      </c>
      <c r="Q7" s="92">
        <f t="shared" si="2"/>
        <v>9306.5219958539219</v>
      </c>
      <c r="R7" s="92">
        <f t="shared" si="3"/>
        <v>341.1819505240739</v>
      </c>
      <c r="S7" s="92">
        <f>Tableau14[[#This Row],[KUVC - Cidre]]*T$109</f>
        <v>21.951591689969703</v>
      </c>
      <c r="T7" s="92">
        <f>Tableau14[[#This Row],[KUVC - Bière, panaché]]*U$109</f>
        <v>1342.3635206096583</v>
      </c>
      <c r="U7" s="92">
        <f>Tableau14[[#This Row],[KUVC - Champagne / Mousseux]]*V$109</f>
        <v>20.202570985175356</v>
      </c>
      <c r="V7" s="92">
        <f>Tableau14[[#This Row],[KUVC - Jus / Nectar]]*W$109</f>
        <v>70.326030031939808</v>
      </c>
      <c r="W7" s="92">
        <f>Tableau14[[#This Row],[KUVC autres boissons sans alcool]]*X$109</f>
        <v>144.35343006556067</v>
      </c>
      <c r="X7" s="92">
        <f>Tableau14[[#This Row],[KUVC miel ]]*Y$109</f>
        <v>12.091142005491404</v>
      </c>
      <c r="Y7" s="92">
        <f>Tableau14[[#This Row],[KUVC Ind. Lait]]*Z$109</f>
        <v>1163.3152494817402</v>
      </c>
      <c r="Z7" s="92">
        <f>Tableau14[[#This Row],[KUVC fermiers]]*AA$109</f>
        <v>119.41368268342586</v>
      </c>
      <c r="AC7" s="52" t="s">
        <v>446</v>
      </c>
      <c r="AD7" s="10">
        <v>170.065</v>
      </c>
      <c r="AE7" s="68">
        <v>35</v>
      </c>
      <c r="AF7" s="68">
        <v>80</v>
      </c>
      <c r="AG7" s="16">
        <f t="shared" si="11"/>
        <v>59.522749999999995</v>
      </c>
      <c r="AH7" s="14">
        <f t="shared" si="12"/>
        <v>136.05199999999999</v>
      </c>
      <c r="AI7" s="68">
        <f t="shared" si="4"/>
        <v>33.778256347629785</v>
      </c>
      <c r="AJ7" s="68">
        <f t="shared" si="5"/>
        <v>31.074515649424793</v>
      </c>
      <c r="AM7" s="52" t="s">
        <v>446</v>
      </c>
      <c r="AN7" s="16">
        <f t="shared" si="6"/>
        <v>39.556476297047539</v>
      </c>
      <c r="AO7" s="16">
        <f t="shared" si="7"/>
        <v>28.370970909447916</v>
      </c>
      <c r="AP7" s="16">
        <f t="shared" si="8"/>
        <v>27.676446340353287</v>
      </c>
      <c r="AQ7" s="16">
        <f t="shared" si="9"/>
        <v>12.805054128695184</v>
      </c>
      <c r="AR7" s="16">
        <f t="shared" si="10"/>
        <v>61.65605232445607</v>
      </c>
      <c r="AS7" s="10">
        <f t="shared" si="13"/>
        <v>170.065</v>
      </c>
    </row>
    <row r="8" spans="1:45">
      <c r="A8">
        <v>12</v>
      </c>
      <c r="B8">
        <v>2</v>
      </c>
      <c r="C8">
        <v>14</v>
      </c>
      <c r="D8" t="s">
        <v>24</v>
      </c>
      <c r="E8" t="s">
        <v>25</v>
      </c>
      <c r="F8">
        <v>18706</v>
      </c>
      <c r="G8" s="93">
        <v>761.41137728302783</v>
      </c>
      <c r="H8" s="93">
        <v>753.87943020558782</v>
      </c>
      <c r="I8" s="91">
        <f t="shared" si="0"/>
        <v>14242961.223456319</v>
      </c>
      <c r="J8">
        <f t="shared" si="1"/>
        <v>6.3548229242358523E-3</v>
      </c>
      <c r="K8" s="92">
        <f t="shared" si="2"/>
        <v>17.66640772937567</v>
      </c>
      <c r="L8" s="92">
        <f t="shared" si="2"/>
        <v>1080.319897120095</v>
      </c>
      <c r="M8" s="92">
        <f t="shared" si="2"/>
        <v>65.035257806629701</v>
      </c>
      <c r="N8" s="92">
        <f t="shared" si="2"/>
        <v>362.2249066814436</v>
      </c>
      <c r="O8" s="92">
        <f t="shared" si="2"/>
        <v>743.51428213559473</v>
      </c>
      <c r="P8" s="92">
        <f t="shared" si="2"/>
        <v>22.241880234825484</v>
      </c>
      <c r="Q8" s="92">
        <f t="shared" si="2"/>
        <v>5991.8320071991211</v>
      </c>
      <c r="R8" s="92">
        <f t="shared" si="3"/>
        <v>219.66368664249822</v>
      </c>
      <c r="S8" s="92">
        <f>Tableau14[[#This Row],[KUVC - Cidre]]*T$109</f>
        <v>14.133126183500536</v>
      </c>
      <c r="T8" s="92">
        <f>Tableau14[[#This Row],[KUVC - Bière, panaché]]*U$109</f>
        <v>864.25591769607604</v>
      </c>
      <c r="U8" s="92">
        <f>Tableau14[[#This Row],[KUVC - Champagne / Mousseux]]*V$109</f>
        <v>13.007051561325941</v>
      </c>
      <c r="V8" s="92">
        <f>Tableau14[[#This Row],[KUVC - Jus / Nectar]]*W$109</f>
        <v>45.27811333518045</v>
      </c>
      <c r="W8" s="92">
        <f>Tableau14[[#This Row],[KUVC autres boissons sans alcool]]*X$109</f>
        <v>92.939285266949341</v>
      </c>
      <c r="X8" s="92">
        <f>Tableau14[[#This Row],[KUVC miel ]]*Y$109</f>
        <v>7.7846580821889191</v>
      </c>
      <c r="Y8" s="92">
        <f>Tableau14[[#This Row],[KUVC Ind. Lait]]*Z$109</f>
        <v>748.97900089989014</v>
      </c>
      <c r="Z8" s="92">
        <f>Tableau14[[#This Row],[KUVC fermiers]]*AA$109</f>
        <v>76.882290324874376</v>
      </c>
      <c r="AC8" s="52" t="s">
        <v>378</v>
      </c>
      <c r="AD8" s="10">
        <v>3.5</v>
      </c>
      <c r="AE8" s="68">
        <v>12.5</v>
      </c>
      <c r="AF8" s="68">
        <v>35</v>
      </c>
      <c r="AG8" s="16">
        <f t="shared" si="11"/>
        <v>0.4375</v>
      </c>
      <c r="AH8" s="14">
        <f t="shared" si="12"/>
        <v>1.2249999999999999</v>
      </c>
      <c r="AI8" s="68">
        <f t="shared" si="4"/>
        <v>0.24827460344302027</v>
      </c>
      <c r="AJ8" s="68">
        <f t="shared" si="5"/>
        <v>0.27979215057878876</v>
      </c>
      <c r="AM8" s="52" t="s">
        <v>378</v>
      </c>
      <c r="AN8" s="16">
        <f t="shared" si="6"/>
        <v>0.81408677293779674</v>
      </c>
      <c r="AO8" s="16">
        <f t="shared" si="7"/>
        <v>0.58388497446898369</v>
      </c>
      <c r="AP8" s="16">
        <f t="shared" si="8"/>
        <v>0.56959140441146916</v>
      </c>
      <c r="AQ8" s="16">
        <f t="shared" si="9"/>
        <v>0.26353270485069324</v>
      </c>
      <c r="AR8" s="16">
        <f t="shared" si="10"/>
        <v>1.2689041433310573</v>
      </c>
      <c r="AS8" s="10">
        <f t="shared" si="13"/>
        <v>3.5</v>
      </c>
    </row>
    <row r="9" spans="1:45">
      <c r="A9">
        <v>13</v>
      </c>
      <c r="B9">
        <v>2</v>
      </c>
      <c r="C9">
        <v>14</v>
      </c>
      <c r="D9" t="s">
        <v>26</v>
      </c>
      <c r="E9" t="s">
        <v>27</v>
      </c>
      <c r="F9">
        <v>272343</v>
      </c>
      <c r="G9" s="93">
        <v>615.56256742036123</v>
      </c>
      <c r="H9" s="93">
        <v>589.49711221743905</v>
      </c>
      <c r="I9" s="91">
        <f t="shared" si="0"/>
        <v>167644156.29896343</v>
      </c>
      <c r="J9">
        <f t="shared" si="1"/>
        <v>7.4798274800351117E-2</v>
      </c>
      <c r="K9" s="92">
        <f t="shared" si="2"/>
        <v>207.9392039449761</v>
      </c>
      <c r="L9" s="92">
        <f t="shared" si="2"/>
        <v>12715.706716059691</v>
      </c>
      <c r="M9" s="92">
        <f t="shared" si="2"/>
        <v>765.48554430679326</v>
      </c>
      <c r="N9" s="92">
        <f t="shared" si="2"/>
        <v>4263.5016636200135</v>
      </c>
      <c r="O9" s="92">
        <f t="shared" si="2"/>
        <v>8751.3981516410804</v>
      </c>
      <c r="P9" s="92">
        <f t="shared" si="2"/>
        <v>261.79396180122893</v>
      </c>
      <c r="Q9" s="92">
        <f t="shared" si="2"/>
        <v>70525.756952686657</v>
      </c>
      <c r="R9" s="92">
        <f t="shared" si="3"/>
        <v>2585.511035166965</v>
      </c>
      <c r="S9" s="92">
        <f>Tableau14[[#This Row],[KUVC - Cidre]]*T$109</f>
        <v>166.35136315598089</v>
      </c>
      <c r="T9" s="92">
        <f>Tableau14[[#This Row],[KUVC - Bière, panaché]]*U$109</f>
        <v>10172.565372847754</v>
      </c>
      <c r="U9" s="92">
        <f>Tableau14[[#This Row],[KUVC - Champagne / Mousseux]]*V$109</f>
        <v>153.09710886135866</v>
      </c>
      <c r="V9" s="92">
        <f>Tableau14[[#This Row],[KUVC - Jus / Nectar]]*W$109</f>
        <v>532.93770795250168</v>
      </c>
      <c r="W9" s="92">
        <f>Tableau14[[#This Row],[KUVC autres boissons sans alcool]]*X$109</f>
        <v>1093.9247689551351</v>
      </c>
      <c r="X9" s="92">
        <f>Tableau14[[#This Row],[KUVC miel ]]*Y$109</f>
        <v>91.627886630430126</v>
      </c>
      <c r="Y9" s="92">
        <f>Tableau14[[#This Row],[KUVC Ind. Lait]]*Z$109</f>
        <v>8815.7196190858322</v>
      </c>
      <c r="Z9" s="92">
        <f>Tableau14[[#This Row],[KUVC fermiers]]*AA$109</f>
        <v>904.92886230843772</v>
      </c>
      <c r="AC9" s="52" t="s">
        <v>377</v>
      </c>
      <c r="AD9" s="10">
        <v>251.46400000000003</v>
      </c>
      <c r="AE9" s="68">
        <v>2.5</v>
      </c>
      <c r="AF9" s="68">
        <v>35</v>
      </c>
      <c r="AG9" s="16">
        <f t="shared" si="11"/>
        <v>6.2866000000000009</v>
      </c>
      <c r="AH9" s="14">
        <f t="shared" si="12"/>
        <v>88.0124</v>
      </c>
      <c r="AI9" s="68">
        <f t="shared" si="4"/>
        <v>3.5675499931540373</v>
      </c>
      <c r="AJ9" s="68">
        <f t="shared" si="5"/>
        <v>20.102186672327012</v>
      </c>
      <c r="AM9" s="52" t="s">
        <v>377</v>
      </c>
      <c r="AN9" s="16">
        <f t="shared" si="6"/>
        <v>58.489576077151469</v>
      </c>
      <c r="AO9" s="16">
        <f t="shared" si="7"/>
        <v>41.950300348533865</v>
      </c>
      <c r="AP9" s="16">
        <f t="shared" si="8"/>
        <v>40.923352262550203</v>
      </c>
      <c r="AQ9" s="16">
        <f t="shared" si="9"/>
        <v>18.933996597878494</v>
      </c>
      <c r="AR9" s="16">
        <f t="shared" si="10"/>
        <v>91.166774713885999</v>
      </c>
      <c r="AS9" s="10">
        <f t="shared" si="13"/>
        <v>251.464</v>
      </c>
    </row>
    <row r="10" spans="1:45" ht="30">
      <c r="A10">
        <v>20</v>
      </c>
      <c r="B10">
        <v>2</v>
      </c>
      <c r="C10">
        <v>14</v>
      </c>
      <c r="D10" t="s">
        <v>40</v>
      </c>
      <c r="E10" t="s">
        <v>41</v>
      </c>
      <c r="F10">
        <v>24668</v>
      </c>
      <c r="G10" s="93">
        <v>898.7029008979232</v>
      </c>
      <c r="H10" s="93">
        <v>855.02240829998902</v>
      </c>
      <c r="I10" s="91">
        <f t="shared" si="0"/>
        <v>22169203.159349971</v>
      </c>
      <c r="J10">
        <f t="shared" si="1"/>
        <v>9.8912970581613077E-3</v>
      </c>
      <c r="K10" s="92">
        <f t="shared" si="2"/>
        <v>27.497805821688434</v>
      </c>
      <c r="L10" s="92">
        <f t="shared" si="2"/>
        <v>1681.5204998874221</v>
      </c>
      <c r="M10" s="92">
        <f t="shared" si="2"/>
        <v>101.22753409322283</v>
      </c>
      <c r="N10" s="92">
        <f t="shared" si="2"/>
        <v>563.80393231519452</v>
      </c>
      <c r="O10" s="92">
        <f t="shared" si="2"/>
        <v>1157.281755804873</v>
      </c>
      <c r="P10" s="92">
        <f t="shared" si="2"/>
        <v>34.619539703564577</v>
      </c>
      <c r="Q10" s="92">
        <f t="shared" si="2"/>
        <v>9326.3008288987221</v>
      </c>
      <c r="R10" s="92">
        <f t="shared" si="3"/>
        <v>341.9070528598682</v>
      </c>
      <c r="S10" s="92">
        <f>Tableau14[[#This Row],[KUVC - Cidre]]*T$109</f>
        <v>21.99824465735075</v>
      </c>
      <c r="T10" s="92">
        <f>Tableau14[[#This Row],[KUVC - Bière, panaché]]*U$109</f>
        <v>1345.2163999099378</v>
      </c>
      <c r="U10" s="92">
        <f>Tableau14[[#This Row],[KUVC - Champagne / Mousseux]]*V$109</f>
        <v>20.245506818644568</v>
      </c>
      <c r="V10" s="92">
        <f>Tableau14[[#This Row],[KUVC - Jus / Nectar]]*W$109</f>
        <v>70.475491539399314</v>
      </c>
      <c r="W10" s="92">
        <f>Tableau14[[#This Row],[KUVC autres boissons sans alcool]]*X$109</f>
        <v>144.66021947560913</v>
      </c>
      <c r="X10" s="92">
        <f>Tableau14[[#This Row],[KUVC miel ]]*Y$109</f>
        <v>12.116838896247602</v>
      </c>
      <c r="Y10" s="92">
        <f>Tableau14[[#This Row],[KUVC Ind. Lait]]*Z$109</f>
        <v>1165.7876036123403</v>
      </c>
      <c r="Z10" s="92">
        <f>Tableau14[[#This Row],[KUVC fermiers]]*AA$109</f>
        <v>119.66746850095386</v>
      </c>
      <c r="AC10" s="52" t="s">
        <v>376</v>
      </c>
      <c r="AD10" s="10">
        <v>11.739000000000001</v>
      </c>
      <c r="AE10" s="68">
        <v>2.5</v>
      </c>
      <c r="AF10" s="68">
        <v>7.5</v>
      </c>
      <c r="AG10" s="16">
        <f t="shared" si="11"/>
        <v>0.29347500000000004</v>
      </c>
      <c r="AH10" s="14">
        <f t="shared" si="12"/>
        <v>0.88042500000000001</v>
      </c>
      <c r="AI10" s="68">
        <f t="shared" si="4"/>
        <v>0.16654260398957801</v>
      </c>
      <c r="AJ10" s="68">
        <f t="shared" si="5"/>
        <v>0.20109061565169806</v>
      </c>
      <c r="AM10" s="52" t="s">
        <v>376</v>
      </c>
      <c r="AN10" s="16">
        <f t="shared" si="6"/>
        <v>2.7304470364333704</v>
      </c>
      <c r="AO10" s="16">
        <f t="shared" si="7"/>
        <v>1.9583502043689713</v>
      </c>
      <c r="AP10" s="16">
        <f t="shared" si="8"/>
        <v>1.910409570396068</v>
      </c>
      <c r="AQ10" s="16">
        <f t="shared" si="9"/>
        <v>0.88388869206922516</v>
      </c>
      <c r="AR10" s="16">
        <f t="shared" si="10"/>
        <v>4.2559044967323665</v>
      </c>
      <c r="AS10" s="10">
        <f t="shared" si="13"/>
        <v>11.739000000000001</v>
      </c>
    </row>
    <row r="11" spans="1:45" ht="30">
      <c r="A11">
        <v>21</v>
      </c>
      <c r="B11">
        <v>2</v>
      </c>
      <c r="C11">
        <v>14</v>
      </c>
      <c r="D11" t="s">
        <v>42</v>
      </c>
      <c r="E11" t="s">
        <v>43</v>
      </c>
      <c r="F11">
        <v>25881</v>
      </c>
      <c r="G11" s="93">
        <v>622.85659655009727</v>
      </c>
      <c r="H11" s="93">
        <v>609.96482784563045</v>
      </c>
      <c r="I11" s="91">
        <f t="shared" si="0"/>
        <v>16120151.575313067</v>
      </c>
      <c r="J11">
        <f t="shared" si="1"/>
        <v>7.1923743360509567E-3</v>
      </c>
      <c r="K11" s="92">
        <f t="shared" si="2"/>
        <v>19.99480065422166</v>
      </c>
      <c r="L11" s="92">
        <f t="shared" si="2"/>
        <v>1222.7036371286626</v>
      </c>
      <c r="M11" s="92">
        <f t="shared" si="2"/>
        <v>73.60675895514548</v>
      </c>
      <c r="N11" s="92">
        <f t="shared" si="2"/>
        <v>409.96533715490455</v>
      </c>
      <c r="O11" s="92">
        <f t="shared" si="2"/>
        <v>841.50779731796183</v>
      </c>
      <c r="P11" s="92">
        <f t="shared" si="2"/>
        <v>25.173310176178347</v>
      </c>
      <c r="Q11" s="92">
        <f t="shared" si="2"/>
        <v>6781.5420300935848</v>
      </c>
      <c r="R11" s="92">
        <f t="shared" si="3"/>
        <v>248.61486798388202</v>
      </c>
      <c r="S11" s="92">
        <f>Tableau14[[#This Row],[KUVC - Cidre]]*T$109</f>
        <v>15.995840523377328</v>
      </c>
      <c r="T11" s="92">
        <f>Tableau14[[#This Row],[KUVC - Bière, panaché]]*U$109</f>
        <v>978.16290970293016</v>
      </c>
      <c r="U11" s="92">
        <f>Tableau14[[#This Row],[KUVC - Champagne / Mousseux]]*V$109</f>
        <v>14.721351791029097</v>
      </c>
      <c r="V11" s="92">
        <f>Tableau14[[#This Row],[KUVC - Jus / Nectar]]*W$109</f>
        <v>51.245667144363068</v>
      </c>
      <c r="W11" s="92">
        <f>Tableau14[[#This Row],[KUVC autres boissons sans alcool]]*X$109</f>
        <v>105.18847466474523</v>
      </c>
      <c r="X11" s="92">
        <f>Tableau14[[#This Row],[KUVC miel ]]*Y$109</f>
        <v>8.8106585616624216</v>
      </c>
      <c r="Y11" s="92">
        <f>Tableau14[[#This Row],[KUVC Ind. Lait]]*Z$109</f>
        <v>847.6927537616981</v>
      </c>
      <c r="Z11" s="92">
        <f>Tableau14[[#This Row],[KUVC fermiers]]*AA$109</f>
        <v>87.015203794358698</v>
      </c>
      <c r="AC11" s="131" t="s">
        <v>445</v>
      </c>
      <c r="AD11" s="10">
        <v>10.234</v>
      </c>
      <c r="AE11" s="68">
        <v>7.5</v>
      </c>
      <c r="AF11" s="68">
        <v>20</v>
      </c>
      <c r="AG11" s="16">
        <f t="shared" si="11"/>
        <v>0.76754999999999995</v>
      </c>
      <c r="AH11" s="14">
        <f t="shared" si="12"/>
        <v>2.0468000000000002</v>
      </c>
      <c r="AI11" s="68">
        <f t="shared" si="4"/>
        <v>0.43557296428043468</v>
      </c>
      <c r="AJ11" s="68">
        <f t="shared" si="5"/>
        <v>0.46749271330993059</v>
      </c>
      <c r="AM11" s="52" t="s">
        <v>445</v>
      </c>
      <c r="AN11" s="16">
        <f t="shared" si="6"/>
        <v>2.3803897240701177</v>
      </c>
      <c r="AO11" s="16">
        <f t="shared" si="7"/>
        <v>1.7072796653473084</v>
      </c>
      <c r="AP11" s="16">
        <f t="shared" si="8"/>
        <v>1.665485266499136</v>
      </c>
      <c r="AQ11" s="16">
        <f t="shared" si="9"/>
        <v>0.77056962898342707</v>
      </c>
      <c r="AR11" s="16">
        <f t="shared" si="10"/>
        <v>3.7102757151000114</v>
      </c>
      <c r="AS11" s="10">
        <f t="shared" si="13"/>
        <v>10.234000000000002</v>
      </c>
    </row>
    <row r="12" spans="1:45" ht="30">
      <c r="A12">
        <v>57</v>
      </c>
      <c r="B12">
        <v>2</v>
      </c>
      <c r="C12">
        <v>14</v>
      </c>
      <c r="D12" t="s">
        <v>114</v>
      </c>
      <c r="E12" t="s">
        <v>115</v>
      </c>
      <c r="F12">
        <v>27565</v>
      </c>
      <c r="G12" s="93">
        <v>723.13408977106292</v>
      </c>
      <c r="H12" s="93">
        <v>689.18757221679823</v>
      </c>
      <c r="I12" s="91">
        <f t="shared" si="0"/>
        <v>19933191.184539348</v>
      </c>
      <c r="J12">
        <f t="shared" si="1"/>
        <v>8.8936491720608187E-3</v>
      </c>
      <c r="K12" s="92">
        <f t="shared" si="2"/>
        <v>24.724344698329073</v>
      </c>
      <c r="L12" s="92">
        <f t="shared" si="2"/>
        <v>1511.9203592503393</v>
      </c>
      <c r="M12" s="92">
        <f t="shared" si="2"/>
        <v>91.01760562687042</v>
      </c>
      <c r="N12" s="92">
        <f t="shared" si="2"/>
        <v>506.93800280746672</v>
      </c>
      <c r="O12" s="92">
        <f t="shared" si="2"/>
        <v>1040.5569531311157</v>
      </c>
      <c r="P12" s="92">
        <f t="shared" si="2"/>
        <v>31.127772102212866</v>
      </c>
      <c r="Q12" s="92">
        <f t="shared" si="2"/>
        <v>8385.6391287821516</v>
      </c>
      <c r="R12" s="92">
        <f t="shared" si="3"/>
        <v>307.42190429716766</v>
      </c>
      <c r="S12" s="92">
        <f>Tableau14[[#This Row],[KUVC - Cidre]]*T$109</f>
        <v>19.77947575866326</v>
      </c>
      <c r="T12" s="92">
        <f>Tableau14[[#This Row],[KUVC - Bière, panaché]]*U$109</f>
        <v>1209.5362874002715</v>
      </c>
      <c r="U12" s="92">
        <f>Tableau14[[#This Row],[KUVC - Champagne / Mousseux]]*V$109</f>
        <v>18.203521125374085</v>
      </c>
      <c r="V12" s="92">
        <f>Tableau14[[#This Row],[KUVC - Jus / Nectar]]*W$109</f>
        <v>63.36725035093334</v>
      </c>
      <c r="W12" s="92">
        <f>Tableau14[[#This Row],[KUVC autres boissons sans alcool]]*X$109</f>
        <v>130.06961914138947</v>
      </c>
      <c r="X12" s="92">
        <f>Tableau14[[#This Row],[KUVC miel ]]*Y$109</f>
        <v>10.894720235774502</v>
      </c>
      <c r="Y12" s="92">
        <f>Tableau14[[#This Row],[KUVC Ind. Lait]]*Z$109</f>
        <v>1048.204891097769</v>
      </c>
      <c r="Z12" s="92">
        <f>Tableau14[[#This Row],[KUVC fermiers]]*AA$109</f>
        <v>107.59766650400867</v>
      </c>
      <c r="AC12" s="52" t="s">
        <v>444</v>
      </c>
      <c r="AD12" s="10">
        <v>57.146999999999998</v>
      </c>
      <c r="AE12" s="68">
        <v>7.5</v>
      </c>
      <c r="AF12" s="68">
        <v>12.5</v>
      </c>
      <c r="AG12" s="16">
        <f t="shared" si="11"/>
        <v>4.2860249999999995</v>
      </c>
      <c r="AH12" s="14">
        <f t="shared" si="12"/>
        <v>7.1433749999999998</v>
      </c>
      <c r="AI12" s="68">
        <f t="shared" si="4"/>
        <v>2.4322540736499905</v>
      </c>
      <c r="AJ12" s="68">
        <f t="shared" si="5"/>
        <v>1.6315593907271473</v>
      </c>
      <c r="AM12" s="52" t="s">
        <v>444</v>
      </c>
      <c r="AN12" s="16">
        <f t="shared" si="6"/>
        <v>13.292176232307504</v>
      </c>
      <c r="AO12" s="16">
        <f t="shared" si="7"/>
        <v>9.5335070388511447</v>
      </c>
      <c r="AP12" s="16">
        <f t="shared" si="8"/>
        <v>9.3001257108292084</v>
      </c>
      <c r="AQ12" s="16">
        <f t="shared" si="9"/>
        <v>4.3028867097435901</v>
      </c>
      <c r="AR12" s="16">
        <f t="shared" si="10"/>
        <v>20.71830430826855</v>
      </c>
      <c r="AS12" s="10">
        <f t="shared" si="13"/>
        <v>57.146999999999998</v>
      </c>
    </row>
    <row r="13" spans="1:45" ht="30">
      <c r="A13">
        <v>59</v>
      </c>
      <c r="B13">
        <v>2</v>
      </c>
      <c r="C13">
        <v>14</v>
      </c>
      <c r="D13" t="s">
        <v>118</v>
      </c>
      <c r="E13" t="s">
        <v>119</v>
      </c>
      <c r="F13">
        <v>23864</v>
      </c>
      <c r="G13" s="93">
        <v>997.43226019440579</v>
      </c>
      <c r="H13" s="93">
        <v>786.61434522597131</v>
      </c>
      <c r="I13" s="91">
        <f t="shared" si="0"/>
        <v>23802723.457279298</v>
      </c>
      <c r="J13">
        <f t="shared" si="1"/>
        <v>1.0620129502034717E-2</v>
      </c>
      <c r="K13" s="92">
        <f t="shared" si="2"/>
        <v>29.52396001565651</v>
      </c>
      <c r="L13" s="92">
        <f t="shared" si="2"/>
        <v>1805.4220153459019</v>
      </c>
      <c r="M13" s="92">
        <f t="shared" si="2"/>
        <v>108.68640532382329</v>
      </c>
      <c r="N13" s="92">
        <f t="shared" si="2"/>
        <v>605.34738161597886</v>
      </c>
      <c r="O13" s="92">
        <f t="shared" si="2"/>
        <v>1242.5551517380618</v>
      </c>
      <c r="P13" s="92">
        <f t="shared" si="2"/>
        <v>37.170453257121508</v>
      </c>
      <c r="Q13" s="92">
        <f t="shared" si="2"/>
        <v>10013.501970008561</v>
      </c>
      <c r="R13" s="92">
        <f t="shared" si="3"/>
        <v>367.10020512778067</v>
      </c>
      <c r="S13" s="92">
        <f>Tableau14[[#This Row],[KUVC - Cidre]]*T$109</f>
        <v>23.619168012525208</v>
      </c>
      <c r="T13" s="92">
        <f>Tableau14[[#This Row],[KUVC - Bière, panaché]]*U$109</f>
        <v>1444.3376122767215</v>
      </c>
      <c r="U13" s="92">
        <f>Tableau14[[#This Row],[KUVC - Champagne / Mousseux]]*V$109</f>
        <v>21.737281064764659</v>
      </c>
      <c r="V13" s="92">
        <f>Tableau14[[#This Row],[KUVC - Jus / Nectar]]*W$109</f>
        <v>75.668422701997358</v>
      </c>
      <c r="W13" s="92">
        <f>Tableau14[[#This Row],[KUVC autres boissons sans alcool]]*X$109</f>
        <v>155.31939396725772</v>
      </c>
      <c r="X13" s="92">
        <f>Tableau14[[#This Row],[KUVC miel ]]*Y$109</f>
        <v>13.009658639992526</v>
      </c>
      <c r="Y13" s="92">
        <f>Tableau14[[#This Row],[KUVC Ind. Lait]]*Z$109</f>
        <v>1251.6877462510702</v>
      </c>
      <c r="Z13" s="92">
        <f>Tableau14[[#This Row],[KUVC fermiers]]*AA$109</f>
        <v>128.48507179472324</v>
      </c>
      <c r="AC13" s="52" t="s">
        <v>443</v>
      </c>
      <c r="AD13" s="10">
        <v>58.91</v>
      </c>
      <c r="AE13" s="68">
        <v>7.5</v>
      </c>
      <c r="AF13" s="68">
        <v>20</v>
      </c>
      <c r="AG13" s="16">
        <f t="shared" si="11"/>
        <v>4.4182499999999996</v>
      </c>
      <c r="AH13" s="14">
        <f t="shared" si="12"/>
        <v>11.782</v>
      </c>
      <c r="AI13" s="68">
        <f t="shared" si="4"/>
        <v>2.5072897523705695</v>
      </c>
      <c r="AJ13" s="68">
        <f t="shared" si="5"/>
        <v>2.6910294841790123</v>
      </c>
      <c r="AM13" s="52" t="s">
        <v>443</v>
      </c>
      <c r="AN13" s="16">
        <f t="shared" si="6"/>
        <v>13.702243369647315</v>
      </c>
      <c r="AO13" s="16">
        <f t="shared" si="7"/>
        <v>9.8276182417050926</v>
      </c>
      <c r="AP13" s="16">
        <f t="shared" si="8"/>
        <v>9.5870370382513279</v>
      </c>
      <c r="AQ13" s="16">
        <f t="shared" si="9"/>
        <v>4.4356318979298113</v>
      </c>
      <c r="AR13" s="16">
        <f t="shared" si="10"/>
        <v>21.35746945246645</v>
      </c>
      <c r="AS13" s="10">
        <f t="shared" si="13"/>
        <v>58.91</v>
      </c>
    </row>
    <row r="14" spans="1:45" ht="30">
      <c r="A14">
        <v>11</v>
      </c>
      <c r="B14">
        <v>3</v>
      </c>
      <c r="C14">
        <v>14</v>
      </c>
      <c r="D14" t="s">
        <v>22</v>
      </c>
      <c r="E14" t="s">
        <v>23</v>
      </c>
      <c r="F14">
        <v>31329</v>
      </c>
      <c r="G14" s="93">
        <v>1005.1317072618504</v>
      </c>
      <c r="H14" s="93">
        <v>628.35802651095685</v>
      </c>
      <c r="I14" s="91">
        <f t="shared" si="0"/>
        <v>31489771.256806511</v>
      </c>
      <c r="J14">
        <f t="shared" si="1"/>
        <v>1.4049881701014445E-2</v>
      </c>
      <c r="K14" s="92">
        <f t="shared" si="2"/>
        <v>39.058671128820151</v>
      </c>
      <c r="L14" s="92">
        <f t="shared" si="2"/>
        <v>2388.4798891724554</v>
      </c>
      <c r="M14" s="92">
        <f t="shared" si="2"/>
        <v>143.78648932818183</v>
      </c>
      <c r="N14" s="92">
        <f t="shared" si="2"/>
        <v>800.84325695782331</v>
      </c>
      <c r="O14" s="92">
        <f t="shared" si="2"/>
        <v>1643.8361590186901</v>
      </c>
      <c r="P14" s="92">
        <f t="shared" si="2"/>
        <v>49.174585953550555</v>
      </c>
      <c r="Q14" s="92">
        <f t="shared" si="2"/>
        <v>13247.344871316382</v>
      </c>
      <c r="R14" s="92">
        <f t="shared" si="3"/>
        <v>485.65457261846814</v>
      </c>
      <c r="S14" s="92">
        <f>Tableau14[[#This Row],[KUVC - Cidre]]*T$109</f>
        <v>31.246936903056124</v>
      </c>
      <c r="T14" s="92">
        <f>Tableau14[[#This Row],[KUVC - Bière, panaché]]*U$109</f>
        <v>1910.7839113379644</v>
      </c>
      <c r="U14" s="92">
        <f>Tableau14[[#This Row],[KUVC - Champagne / Mousseux]]*V$109</f>
        <v>28.757297865636367</v>
      </c>
      <c r="V14" s="92">
        <f>Tableau14[[#This Row],[KUVC - Jus / Nectar]]*W$109</f>
        <v>100.10540711972791</v>
      </c>
      <c r="W14" s="92">
        <f>Tableau14[[#This Row],[KUVC autres boissons sans alcool]]*X$109</f>
        <v>205.47951987733626</v>
      </c>
      <c r="X14" s="92">
        <f>Tableau14[[#This Row],[KUVC miel ]]*Y$109</f>
        <v>17.211105083742694</v>
      </c>
      <c r="Y14" s="92">
        <f>Tableau14[[#This Row],[KUVC Ind. Lait]]*Z$109</f>
        <v>1655.9181089145477</v>
      </c>
      <c r="Z14" s="92">
        <f>Tableau14[[#This Row],[KUVC fermiers]]*AA$109</f>
        <v>169.97910041646384</v>
      </c>
      <c r="AC14" s="52" t="s">
        <v>372</v>
      </c>
      <c r="AD14" s="10">
        <v>117.476</v>
      </c>
      <c r="AE14" s="68">
        <v>7.5</v>
      </c>
      <c r="AF14" s="68">
        <v>12.5</v>
      </c>
      <c r="AG14" s="16">
        <f t="shared" si="11"/>
        <v>8.8106999999999989</v>
      </c>
      <c r="AH14" s="14">
        <f t="shared" si="12"/>
        <v>14.6845</v>
      </c>
      <c r="AI14" s="68">
        <f t="shared" si="4"/>
        <v>4.9999383966980986</v>
      </c>
      <c r="AJ14" s="68">
        <f t="shared" si="5"/>
        <v>3.3539655797340604</v>
      </c>
      <c r="AM14" s="52" t="s">
        <v>372</v>
      </c>
      <c r="AN14" s="16">
        <f t="shared" si="6"/>
        <v>27.324473639325888</v>
      </c>
      <c r="AO14" s="16">
        <f t="shared" si="7"/>
        <v>19.597848931633806</v>
      </c>
      <c r="AP14" s="16">
        <f t="shared" si="8"/>
        <v>19.118091378469074</v>
      </c>
      <c r="AQ14" s="16">
        <f t="shared" si="9"/>
        <v>8.8453622957257263</v>
      </c>
      <c r="AR14" s="16">
        <f t="shared" si="10"/>
        <v>42.59022375484551</v>
      </c>
      <c r="AS14" s="10">
        <f t="shared" si="13"/>
        <v>117.476</v>
      </c>
    </row>
    <row r="15" spans="1:45">
      <c r="A15">
        <v>23</v>
      </c>
      <c r="B15">
        <v>3</v>
      </c>
      <c r="C15">
        <v>14</v>
      </c>
      <c r="D15" t="s">
        <v>46</v>
      </c>
      <c r="E15" t="s">
        <v>47</v>
      </c>
      <c r="F15">
        <v>27172</v>
      </c>
      <c r="G15" s="93">
        <v>779.37909698558644</v>
      </c>
      <c r="H15" s="93">
        <v>687.40124279317331</v>
      </c>
      <c r="I15" s="91">
        <f t="shared" si="0"/>
        <v>21177288.823292356</v>
      </c>
      <c r="J15">
        <f t="shared" si="1"/>
        <v>9.4487317894111442E-3</v>
      </c>
      <c r="K15" s="92">
        <f t="shared" ref="K15:Q24" si="14">$J15*K$79*1000</f>
        <v>26.26747437456298</v>
      </c>
      <c r="L15" s="92">
        <f t="shared" si="14"/>
        <v>1606.2844041998944</v>
      </c>
      <c r="M15" s="92">
        <f t="shared" si="14"/>
        <v>96.698321132833655</v>
      </c>
      <c r="N15" s="92">
        <f t="shared" si="14"/>
        <v>538.57771199643526</v>
      </c>
      <c r="O15" s="92">
        <f t="shared" si="14"/>
        <v>1105.5016193611038</v>
      </c>
      <c r="P15" s="92">
        <f t="shared" si="14"/>
        <v>33.070561262939002</v>
      </c>
      <c r="Q15" s="92">
        <f t="shared" si="14"/>
        <v>8909.0151272848143</v>
      </c>
      <c r="R15" s="92">
        <f t="shared" si="3"/>
        <v>326.60914138812115</v>
      </c>
      <c r="S15" s="92">
        <f>Tableau14[[#This Row],[KUVC - Cidre]]*T$109</f>
        <v>21.013979499650386</v>
      </c>
      <c r="T15" s="92">
        <f>Tableau14[[#This Row],[KUVC - Bière, panaché]]*U$109</f>
        <v>1285.0275233599157</v>
      </c>
      <c r="U15" s="92">
        <f>Tableau14[[#This Row],[KUVC - Champagne / Mousseux]]*V$109</f>
        <v>19.339664226566732</v>
      </c>
      <c r="V15" s="92">
        <f>Tableau14[[#This Row],[KUVC - Jus / Nectar]]*W$109</f>
        <v>67.322213999554407</v>
      </c>
      <c r="W15" s="92">
        <f>Tableau14[[#This Row],[KUVC autres boissons sans alcool]]*X$109</f>
        <v>138.18770242013798</v>
      </c>
      <c r="X15" s="92">
        <f>Tableau14[[#This Row],[KUVC miel ]]*Y$109</f>
        <v>11.57469644202865</v>
      </c>
      <c r="Y15" s="92">
        <f>Tableau14[[#This Row],[KUVC Ind. Lait]]*Z$109</f>
        <v>1113.6268909106018</v>
      </c>
      <c r="Z15" s="92">
        <f>Tableau14[[#This Row],[KUVC fermiers]]*AA$109</f>
        <v>114.31319948584239</v>
      </c>
      <c r="AC15" s="131" t="s">
        <v>875</v>
      </c>
      <c r="AD15" s="10">
        <f>942879.46/1000</f>
        <v>942.87945999999999</v>
      </c>
      <c r="AE15" s="68">
        <v>7.5</v>
      </c>
      <c r="AF15" s="68">
        <v>12.5</v>
      </c>
      <c r="AG15" s="16">
        <f t="shared" si="11"/>
        <v>70.715959499999997</v>
      </c>
      <c r="AH15" s="14">
        <f t="shared" si="12"/>
        <v>117.8599325</v>
      </c>
      <c r="AI15" s="68">
        <f t="shared" si="4"/>
        <v>40.130232690183263</v>
      </c>
      <c r="AJ15" s="68">
        <f t="shared" si="5"/>
        <v>26.919415494894601</v>
      </c>
      <c r="AM15" s="131" t="s">
        <v>875</v>
      </c>
      <c r="AN15" s="16">
        <f t="shared" si="6"/>
        <v>219.3101991030664</v>
      </c>
      <c r="AO15" s="16">
        <f t="shared" si="7"/>
        <v>157.29518555126546</v>
      </c>
      <c r="AP15" s="16">
        <f t="shared" si="8"/>
        <v>153.44458166060792</v>
      </c>
      <c r="AQ15" s="16">
        <f t="shared" si="9"/>
        <v>70.994164126274583</v>
      </c>
      <c r="AR15" s="16">
        <f t="shared" si="10"/>
        <v>341.8353295587857</v>
      </c>
      <c r="AS15" s="10">
        <f t="shared" ref="AS15" si="15">SUM(AN15:AR15)</f>
        <v>942.87945999999999</v>
      </c>
    </row>
    <row r="16" spans="1:45" ht="45">
      <c r="A16">
        <v>38</v>
      </c>
      <c r="B16">
        <v>3</v>
      </c>
      <c r="C16">
        <v>14</v>
      </c>
      <c r="D16" t="s">
        <v>76</v>
      </c>
      <c r="E16" t="s">
        <v>77</v>
      </c>
      <c r="F16">
        <v>72916</v>
      </c>
      <c r="G16" s="93">
        <v>701.22006211031794</v>
      </c>
      <c r="H16" s="93">
        <v>653.60264690522467</v>
      </c>
      <c r="I16" s="91">
        <f t="shared" si="0"/>
        <v>51130162.048835941</v>
      </c>
      <c r="J16">
        <f t="shared" si="1"/>
        <v>2.2812891280833521E-2</v>
      </c>
      <c r="K16" s="92">
        <f t="shared" si="14"/>
        <v>63.419837760717193</v>
      </c>
      <c r="L16" s="92">
        <f t="shared" si="14"/>
        <v>3878.1915177416986</v>
      </c>
      <c r="M16" s="92">
        <f t="shared" si="14"/>
        <v>233.46712936805025</v>
      </c>
      <c r="N16" s="92">
        <f t="shared" si="14"/>
        <v>1300.3348030075108</v>
      </c>
      <c r="O16" s="92">
        <f t="shared" si="14"/>
        <v>2669.1082798575221</v>
      </c>
      <c r="P16" s="92">
        <f t="shared" si="14"/>
        <v>79.845119482917326</v>
      </c>
      <c r="Q16" s="92">
        <f t="shared" si="14"/>
        <v>21509.806611911015</v>
      </c>
      <c r="R16" s="92">
        <f t="shared" si="3"/>
        <v>788.56072961702091</v>
      </c>
      <c r="S16" s="92">
        <f>Tableau14[[#This Row],[KUVC - Cidre]]*T$109</f>
        <v>50.735870208573758</v>
      </c>
      <c r="T16" s="92">
        <f>Tableau14[[#This Row],[KUVC - Bière, panaché]]*U$109</f>
        <v>3102.5532141933591</v>
      </c>
      <c r="U16" s="92">
        <f>Tableau14[[#This Row],[KUVC - Champagne / Mousseux]]*V$109</f>
        <v>46.693425873610053</v>
      </c>
      <c r="V16" s="92">
        <f>Tableau14[[#This Row],[KUVC - Jus / Nectar]]*W$109</f>
        <v>162.54185037593885</v>
      </c>
      <c r="W16" s="92">
        <f>Tableau14[[#This Row],[KUVC autres boissons sans alcool]]*X$109</f>
        <v>333.63853498219027</v>
      </c>
      <c r="X16" s="92">
        <f>Tableau14[[#This Row],[KUVC miel ]]*Y$109</f>
        <v>27.945791819021064</v>
      </c>
      <c r="Y16" s="92">
        <f>Tableau14[[#This Row],[KUVC Ind. Lait]]*Z$109</f>
        <v>2688.7258264888769</v>
      </c>
      <c r="Z16" s="92">
        <f>Tableau14[[#This Row],[KUVC fermiers]]*AA$109</f>
        <v>275.99625536595732</v>
      </c>
      <c r="AC16" s="52" t="s">
        <v>440</v>
      </c>
      <c r="AD16" s="10">
        <v>71.122</v>
      </c>
      <c r="AE16" s="68">
        <v>12.5</v>
      </c>
      <c r="AF16" s="68">
        <v>35</v>
      </c>
      <c r="AG16" s="16">
        <f t="shared" si="11"/>
        <v>8.89025</v>
      </c>
      <c r="AH16" s="14">
        <f t="shared" si="12"/>
        <v>24.892699999999998</v>
      </c>
      <c r="AI16" s="68">
        <f t="shared" si="4"/>
        <v>5.0450818131641384</v>
      </c>
      <c r="AJ16" s="68">
        <f t="shared" si="5"/>
        <v>5.6855363809898902</v>
      </c>
      <c r="AM16" s="52" t="s">
        <v>440</v>
      </c>
      <c r="AN16" s="16">
        <f t="shared" si="6"/>
        <v>16.542708418537707</v>
      </c>
      <c r="AO16" s="16">
        <f t="shared" si="7"/>
        <v>11.864876329766588</v>
      </c>
      <c r="AP16" s="16">
        <f t="shared" si="8"/>
        <v>11.574422818443574</v>
      </c>
      <c r="AQ16" s="16">
        <f t="shared" si="9"/>
        <v>5.3551351526831441</v>
      </c>
      <c r="AR16" s="16">
        <f t="shared" si="10"/>
        <v>25.784857280568986</v>
      </c>
      <c r="AS16" s="10">
        <f t="shared" si="13"/>
        <v>71.122</v>
      </c>
    </row>
    <row r="17" spans="1:45" ht="30">
      <c r="A17">
        <v>56</v>
      </c>
      <c r="B17">
        <v>3</v>
      </c>
      <c r="C17">
        <v>14</v>
      </c>
      <c r="D17" t="s">
        <v>112</v>
      </c>
      <c r="E17" t="s">
        <v>113</v>
      </c>
      <c r="F17">
        <v>20605</v>
      </c>
      <c r="G17" s="93">
        <v>1549.3626389931612</v>
      </c>
      <c r="H17" s="93">
        <v>675.87485290520124</v>
      </c>
      <c r="I17" s="91">
        <f t="shared" si="0"/>
        <v>31924617.176454086</v>
      </c>
      <c r="J17">
        <f t="shared" si="1"/>
        <v>1.4243898154147512E-2</v>
      </c>
      <c r="K17" s="92">
        <f t="shared" si="14"/>
        <v>39.59803686853008</v>
      </c>
      <c r="L17" s="92">
        <f t="shared" si="14"/>
        <v>2421.4626862050773</v>
      </c>
      <c r="M17" s="92">
        <f t="shared" si="14"/>
        <v>145.77205370954562</v>
      </c>
      <c r="N17" s="92">
        <f t="shared" si="14"/>
        <v>811.90219478640824</v>
      </c>
      <c r="O17" s="92">
        <f t="shared" si="14"/>
        <v>1666.5360840352589</v>
      </c>
      <c r="P17" s="92">
        <f t="shared" si="14"/>
        <v>49.853643539516298</v>
      </c>
      <c r="Q17" s="92">
        <f t="shared" si="14"/>
        <v>13430.278999877602</v>
      </c>
      <c r="R17" s="92">
        <f t="shared" si="3"/>
        <v>492.3610331874911</v>
      </c>
      <c r="S17" s="92">
        <f>Tableau14[[#This Row],[KUVC - Cidre]]*T$109</f>
        <v>31.678429494824066</v>
      </c>
      <c r="T17" s="92">
        <f>Tableau14[[#This Row],[KUVC - Bière, panaché]]*U$109</f>
        <v>1937.1701489640618</v>
      </c>
      <c r="U17" s="92">
        <f>Tableau14[[#This Row],[KUVC - Champagne / Mousseux]]*V$109</f>
        <v>29.154410741909125</v>
      </c>
      <c r="V17" s="92">
        <f>Tableau14[[#This Row],[KUVC - Jus / Nectar]]*W$109</f>
        <v>101.48777434830103</v>
      </c>
      <c r="W17" s="92">
        <f>Tableau14[[#This Row],[KUVC autres boissons sans alcool]]*X$109</f>
        <v>208.31701050440736</v>
      </c>
      <c r="X17" s="92">
        <f>Tableau14[[#This Row],[KUVC miel ]]*Y$109</f>
        <v>17.448775238830702</v>
      </c>
      <c r="Y17" s="92">
        <f>Tableau14[[#This Row],[KUVC Ind. Lait]]*Z$109</f>
        <v>1678.7848749847003</v>
      </c>
      <c r="Z17" s="92">
        <f>Tableau14[[#This Row],[KUVC fermiers]]*AA$109</f>
        <v>172.32636161562186</v>
      </c>
      <c r="AC17" s="131" t="s">
        <v>874</v>
      </c>
      <c r="AD17" s="10">
        <v>34.566452796780659</v>
      </c>
      <c r="AE17" s="68">
        <v>12.5</v>
      </c>
      <c r="AF17" s="10">
        <v>35</v>
      </c>
      <c r="AG17" s="16">
        <f>AD17*(AE17/100)</f>
        <v>4.3208065995975824</v>
      </c>
      <c r="AH17" s="14">
        <f t="shared" si="12"/>
        <v>12.09825847887323</v>
      </c>
      <c r="AI17" s="68">
        <f t="shared" si="4"/>
        <v>2.4519921030150273</v>
      </c>
      <c r="AJ17" s="68">
        <f t="shared" si="5"/>
        <v>2.7632634759689854</v>
      </c>
      <c r="AM17" s="131" t="s">
        <v>874</v>
      </c>
      <c r="AN17" s="16">
        <f t="shared" si="6"/>
        <v>8.0400262883536691</v>
      </c>
      <c r="AO17" s="16">
        <f t="shared" si="7"/>
        <v>5.7665235453518866</v>
      </c>
      <c r="AP17" s="16">
        <f t="shared" si="8"/>
        <v>5.6253583982974442</v>
      </c>
      <c r="AQ17" s="16">
        <f t="shared" si="9"/>
        <v>2.6026830864655479</v>
      </c>
      <c r="AR17" s="16">
        <f t="shared" si="10"/>
        <v>12.531861478312111</v>
      </c>
      <c r="AS17" s="10">
        <f t="shared" ref="AS17" si="16">SUM(AN17:AR17)</f>
        <v>34.566452796780659</v>
      </c>
    </row>
    <row r="18" spans="1:45" ht="30">
      <c r="A18">
        <v>60</v>
      </c>
      <c r="B18">
        <v>3</v>
      </c>
      <c r="C18">
        <v>14</v>
      </c>
      <c r="D18" t="s">
        <v>120</v>
      </c>
      <c r="E18" t="s">
        <v>121</v>
      </c>
      <c r="F18">
        <v>19404</v>
      </c>
      <c r="G18" s="93">
        <v>1051.1998400387347</v>
      </c>
      <c r="H18" s="93">
        <v>900.72133532971338</v>
      </c>
      <c r="I18" s="91">
        <f t="shared" si="0"/>
        <v>20397481.696111608</v>
      </c>
      <c r="J18">
        <f t="shared" si="1"/>
        <v>9.1008030033571871E-3</v>
      </c>
      <c r="K18" s="92">
        <f t="shared" si="14"/>
        <v>25.30023234933298</v>
      </c>
      <c r="L18" s="92">
        <f t="shared" si="14"/>
        <v>1547.1365105707218</v>
      </c>
      <c r="M18" s="92">
        <f t="shared" si="14"/>
        <v>93.137617936357458</v>
      </c>
      <c r="N18" s="92">
        <f t="shared" si="14"/>
        <v>518.74577119135972</v>
      </c>
      <c r="O18" s="92">
        <f t="shared" si="14"/>
        <v>1064.7939513927909</v>
      </c>
      <c r="P18" s="92">
        <f t="shared" si="14"/>
        <v>31.85281051175015</v>
      </c>
      <c r="Q18" s="92">
        <f t="shared" si="14"/>
        <v>8580.9602213718026</v>
      </c>
      <c r="R18" s="92">
        <f t="shared" si="3"/>
        <v>314.58247742834584</v>
      </c>
      <c r="S18" s="92">
        <f>Tableau14[[#This Row],[KUVC - Cidre]]*T$109</f>
        <v>20.240185879466384</v>
      </c>
      <c r="T18" s="92">
        <f>Tableau14[[#This Row],[KUVC - Bière, panaché]]*U$109</f>
        <v>1237.7092084565775</v>
      </c>
      <c r="U18" s="92">
        <f>Tableau14[[#This Row],[KUVC - Champagne / Mousseux]]*V$109</f>
        <v>18.627523587271494</v>
      </c>
      <c r="V18" s="92">
        <f>Tableau14[[#This Row],[KUVC - Jus / Nectar]]*W$109</f>
        <v>64.843221398919965</v>
      </c>
      <c r="W18" s="92">
        <f>Tableau14[[#This Row],[KUVC autres boissons sans alcool]]*X$109</f>
        <v>133.09924392409886</v>
      </c>
      <c r="X18" s="92">
        <f>Tableau14[[#This Row],[KUVC miel ]]*Y$109</f>
        <v>11.148483679112552</v>
      </c>
      <c r="Y18" s="92">
        <f>Tableau14[[#This Row],[KUVC Ind. Lait]]*Z$109</f>
        <v>1072.6200276714753</v>
      </c>
      <c r="Z18" s="92">
        <f>Tableau14[[#This Row],[KUVC fermiers]]*AA$109</f>
        <v>110.10386709992103</v>
      </c>
      <c r="AC18" s="52" t="s">
        <v>439</v>
      </c>
      <c r="AD18" s="10">
        <v>35.991</v>
      </c>
      <c r="AE18" s="68">
        <v>0.5</v>
      </c>
      <c r="AF18" s="68">
        <v>2.5</v>
      </c>
      <c r="AG18" s="16">
        <f t="shared" si="11"/>
        <v>0.179955</v>
      </c>
      <c r="AH18" s="14">
        <f t="shared" si="12"/>
        <v>0.89977499999999999</v>
      </c>
      <c r="AI18" s="68">
        <f t="shared" si="4"/>
        <v>0.10212172860020277</v>
      </c>
      <c r="AJ18" s="68">
        <f t="shared" si="5"/>
        <v>0.20551018962206505</v>
      </c>
      <c r="AM18" s="52" t="s">
        <v>439</v>
      </c>
      <c r="AN18" s="16">
        <f t="shared" si="6"/>
        <v>8.3713705842297834</v>
      </c>
      <c r="AO18" s="16">
        <f t="shared" si="7"/>
        <v>6.0041726046037693</v>
      </c>
      <c r="AP18" s="16">
        <f t="shared" si="8"/>
        <v>5.8571897817637684</v>
      </c>
      <c r="AQ18" s="16">
        <f t="shared" si="9"/>
        <v>2.7099444515089428</v>
      </c>
      <c r="AR18" s="16">
        <f t="shared" si="10"/>
        <v>13.048322577893737</v>
      </c>
      <c r="AS18" s="10">
        <f t="shared" si="13"/>
        <v>35.991</v>
      </c>
    </row>
    <row r="19" spans="1:45">
      <c r="A19">
        <v>32</v>
      </c>
      <c r="B19">
        <v>4</v>
      </c>
      <c r="C19">
        <v>14</v>
      </c>
      <c r="D19" t="s">
        <v>64</v>
      </c>
      <c r="E19" t="s">
        <v>65</v>
      </c>
      <c r="F19">
        <v>46376</v>
      </c>
      <c r="G19" s="93">
        <v>634.80485378546121</v>
      </c>
      <c r="H19" s="93">
        <v>591.98071682374359</v>
      </c>
      <c r="I19" s="91">
        <f t="shared" si="0"/>
        <v>29439709.899154548</v>
      </c>
      <c r="J19">
        <f t="shared" si="1"/>
        <v>1.3135199935944291E-2</v>
      </c>
      <c r="K19" s="92">
        <f t="shared" si="14"/>
        <v>36.515855821925122</v>
      </c>
      <c r="L19" s="92">
        <f t="shared" si="14"/>
        <v>2232.9839891105294</v>
      </c>
      <c r="M19" s="92">
        <f t="shared" si="14"/>
        <v>134.42563614445388</v>
      </c>
      <c r="N19" s="92">
        <f t="shared" si="14"/>
        <v>748.70639634882468</v>
      </c>
      <c r="O19" s="92">
        <f t="shared" si="14"/>
        <v>1536.8183925054821</v>
      </c>
      <c r="P19" s="92">
        <f t="shared" si="14"/>
        <v>45.973199775805014</v>
      </c>
      <c r="Q19" s="92">
        <f t="shared" si="14"/>
        <v>12384.910222595188</v>
      </c>
      <c r="R19" s="92">
        <f t="shared" si="3"/>
        <v>454.03726856209465</v>
      </c>
      <c r="S19" s="92">
        <f>Tableau14[[#This Row],[KUVC - Cidre]]*T$109</f>
        <v>29.212684657540098</v>
      </c>
      <c r="T19" s="92">
        <f>Tableau14[[#This Row],[KUVC - Bière, panaché]]*U$109</f>
        <v>1786.3871912884235</v>
      </c>
      <c r="U19" s="92">
        <f>Tableau14[[#This Row],[KUVC - Champagne / Mousseux]]*V$109</f>
        <v>26.885127228890777</v>
      </c>
      <c r="V19" s="92">
        <f>Tableau14[[#This Row],[KUVC - Jus / Nectar]]*W$109</f>
        <v>93.588299543603085</v>
      </c>
      <c r="W19" s="92">
        <f>Tableau14[[#This Row],[KUVC autres boissons sans alcool]]*X$109</f>
        <v>192.10229906318526</v>
      </c>
      <c r="X19" s="92">
        <f>Tableau14[[#This Row],[KUVC miel ]]*Y$109</f>
        <v>16.090619921531754</v>
      </c>
      <c r="Y19" s="92">
        <f>Tableau14[[#This Row],[KUVC Ind. Lait]]*Z$109</f>
        <v>1548.1137778243985</v>
      </c>
      <c r="Z19" s="92">
        <f>Tableau14[[#This Row],[KUVC fermiers]]*AA$109</f>
        <v>158.91304399673311</v>
      </c>
      <c r="AC19" s="52" t="s">
        <v>438</v>
      </c>
      <c r="AD19" s="10">
        <v>62.479000000000006</v>
      </c>
      <c r="AE19" s="68">
        <v>0.5</v>
      </c>
      <c r="AF19" s="68">
        <v>2.5</v>
      </c>
      <c r="AG19" s="16">
        <f t="shared" si="11"/>
        <v>0.31239500000000003</v>
      </c>
      <c r="AH19" s="14">
        <f t="shared" si="12"/>
        <v>1.5619750000000003</v>
      </c>
      <c r="AI19" s="68">
        <f t="shared" si="4"/>
        <v>0.17727941655447388</v>
      </c>
      <c r="AJ19" s="68">
        <f t="shared" si="5"/>
        <v>0.35675783216351326</v>
      </c>
      <c r="AM19" s="52" t="s">
        <v>438</v>
      </c>
      <c r="AN19" s="16">
        <f t="shared" si="6"/>
        <v>14.53237928182303</v>
      </c>
      <c r="AO19" s="16">
        <f t="shared" si="7"/>
        <v>10.423014091385038</v>
      </c>
      <c r="AP19" s="16">
        <f t="shared" si="8"/>
        <v>10.167857530349767</v>
      </c>
      <c r="AQ19" s="16">
        <f t="shared" si="9"/>
        <v>4.70435996181899</v>
      </c>
      <c r="AR19" s="16">
        <f t="shared" si="10"/>
        <v>22.65138913462318</v>
      </c>
      <c r="AS19" s="10">
        <f t="shared" si="13"/>
        <v>62.478999999999999</v>
      </c>
    </row>
    <row r="20" spans="1:45">
      <c r="A20">
        <v>37</v>
      </c>
      <c r="B20">
        <v>4</v>
      </c>
      <c r="C20">
        <v>14</v>
      </c>
      <c r="D20" t="s">
        <v>74</v>
      </c>
      <c r="E20" t="s">
        <v>75</v>
      </c>
      <c r="F20">
        <v>24818</v>
      </c>
      <c r="G20" s="93">
        <v>568.71284238299188</v>
      </c>
      <c r="H20" s="93">
        <v>551.35775564360483</v>
      </c>
      <c r="I20" s="91">
        <f t="shared" si="0"/>
        <v>14114315.322261093</v>
      </c>
      <c r="J20">
        <f t="shared" si="1"/>
        <v>6.2974246129438123E-3</v>
      </c>
      <c r="K20" s="92">
        <f t="shared" si="14"/>
        <v>17.506840423983796</v>
      </c>
      <c r="L20" s="92">
        <f t="shared" si="14"/>
        <v>1070.562184200448</v>
      </c>
      <c r="M20" s="92">
        <f t="shared" si="14"/>
        <v>64.44784348886698</v>
      </c>
      <c r="N20" s="92">
        <f t="shared" si="14"/>
        <v>358.9532029377973</v>
      </c>
      <c r="O20" s="92">
        <f t="shared" si="14"/>
        <v>736.79867971442604</v>
      </c>
      <c r="P20" s="92">
        <f t="shared" si="14"/>
        <v>22.040986145303343</v>
      </c>
      <c r="Q20" s="92">
        <f t="shared" si="14"/>
        <v>5937.7123184431712</v>
      </c>
      <c r="R20" s="92">
        <f t="shared" si="3"/>
        <v>217.679630624607</v>
      </c>
      <c r="S20" s="92">
        <f>Tableau14[[#This Row],[KUVC - Cidre]]*T$109</f>
        <v>14.005472339187037</v>
      </c>
      <c r="T20" s="92">
        <f>Tableau14[[#This Row],[KUVC - Bière, panaché]]*U$109</f>
        <v>856.4497473603584</v>
      </c>
      <c r="U20" s="92">
        <f>Tableau14[[#This Row],[KUVC - Champagne / Mousseux]]*V$109</f>
        <v>12.889568697773397</v>
      </c>
      <c r="V20" s="92">
        <f>Tableau14[[#This Row],[KUVC - Jus / Nectar]]*W$109</f>
        <v>44.869150367224663</v>
      </c>
      <c r="W20" s="92">
        <f>Tableau14[[#This Row],[KUVC autres boissons sans alcool]]*X$109</f>
        <v>92.099834964303255</v>
      </c>
      <c r="X20" s="92">
        <f>Tableau14[[#This Row],[KUVC miel ]]*Y$109</f>
        <v>7.7143451508561691</v>
      </c>
      <c r="Y20" s="92">
        <f>Tableau14[[#This Row],[KUVC Ind. Lait]]*Z$109</f>
        <v>742.2140398053964</v>
      </c>
      <c r="Z20" s="92">
        <f>Tableau14[[#This Row],[KUVC fermiers]]*AA$109</f>
        <v>76.187870718612444</v>
      </c>
      <c r="AC20" s="52" t="s">
        <v>437</v>
      </c>
      <c r="AD20" s="10">
        <v>55.082999999999998</v>
      </c>
      <c r="AE20" s="67">
        <v>2.5</v>
      </c>
      <c r="AF20" s="67">
        <v>7.5</v>
      </c>
      <c r="AG20" s="16">
        <f t="shared" si="11"/>
        <v>1.377075</v>
      </c>
      <c r="AH20" s="14">
        <f t="shared" si="12"/>
        <v>4.1312249999999997</v>
      </c>
      <c r="AI20" s="68">
        <f t="shared" si="4"/>
        <v>0.78146914179725058</v>
      </c>
      <c r="AJ20" s="68">
        <f t="shared" si="5"/>
        <v>0.94357904267335246</v>
      </c>
      <c r="AM20" s="52" t="s">
        <v>437</v>
      </c>
      <c r="AN20" s="16">
        <f t="shared" si="6"/>
        <v>12.812097632495044</v>
      </c>
      <c r="AO20" s="16">
        <f t="shared" si="7"/>
        <v>9.1891817281928656</v>
      </c>
      <c r="AP20" s="16">
        <f t="shared" si="8"/>
        <v>8.9642295226277025</v>
      </c>
      <c r="AQ20" s="16">
        <f t="shared" si="9"/>
        <v>4.14747770894021</v>
      </c>
      <c r="AR20" s="16">
        <f t="shared" si="10"/>
        <v>19.97001340774418</v>
      </c>
      <c r="AS20" s="10">
        <f t="shared" si="13"/>
        <v>55.082999999999998</v>
      </c>
    </row>
    <row r="21" spans="1:45">
      <c r="A21">
        <v>45</v>
      </c>
      <c r="B21">
        <v>1</v>
      </c>
      <c r="C21">
        <v>27</v>
      </c>
      <c r="D21" t="s">
        <v>90</v>
      </c>
      <c r="E21" t="s">
        <v>91</v>
      </c>
      <c r="F21">
        <v>20656</v>
      </c>
      <c r="G21" s="93">
        <v>654.79064654040849</v>
      </c>
      <c r="H21" s="93">
        <v>623.40879232724194</v>
      </c>
      <c r="I21" s="91">
        <f t="shared" si="0"/>
        <v>13525355.594938677</v>
      </c>
      <c r="J21">
        <f t="shared" si="1"/>
        <v>6.0346467595240897E-3</v>
      </c>
      <c r="K21" s="92">
        <f t="shared" si="14"/>
        <v>16.776317991476969</v>
      </c>
      <c r="L21" s="92">
        <f t="shared" si="14"/>
        <v>1025.889949119095</v>
      </c>
      <c r="M21" s="92">
        <f t="shared" si="14"/>
        <v>61.758574936969531</v>
      </c>
      <c r="N21" s="92">
        <f t="shared" si="14"/>
        <v>343.97486529287312</v>
      </c>
      <c r="O21" s="92">
        <f t="shared" si="14"/>
        <v>706.05367086431852</v>
      </c>
      <c r="P21" s="92">
        <f t="shared" si="14"/>
        <v>21.121263658334314</v>
      </c>
      <c r="Q21" s="92">
        <f t="shared" si="14"/>
        <v>5689.9444779108235</v>
      </c>
      <c r="R21" s="92">
        <f t="shared" si="3"/>
        <v>208.59633235833479</v>
      </c>
      <c r="S21" s="92">
        <f>Tableau14[[#This Row],[KUVC - Cidre]]*T$109</f>
        <v>13.421054393181576</v>
      </c>
      <c r="T21" s="92">
        <f>Tableau14[[#This Row],[KUVC - Bière, panaché]]*U$109</f>
        <v>820.71195929527607</v>
      </c>
      <c r="U21" s="92">
        <f>Tableau14[[#This Row],[KUVC - Champagne / Mousseux]]*V$109</f>
        <v>12.351714987393906</v>
      </c>
      <c r="V21" s="92">
        <f>Tableau14[[#This Row],[KUVC - Jus / Nectar]]*W$109</f>
        <v>42.99685816160914</v>
      </c>
      <c r="W21" s="92">
        <f>Tableau14[[#This Row],[KUVC autres boissons sans alcool]]*X$109</f>
        <v>88.256708858039815</v>
      </c>
      <c r="X21" s="92">
        <f>Tableau14[[#This Row],[KUVC miel ]]*Y$109</f>
        <v>7.3924422804170096</v>
      </c>
      <c r="Y21" s="92">
        <f>Tableau14[[#This Row],[KUVC Ind. Lait]]*Z$109</f>
        <v>711.24305973885293</v>
      </c>
      <c r="Z21" s="92">
        <f>Tableau14[[#This Row],[KUVC fermiers]]*AA$109</f>
        <v>73.008716325417168</v>
      </c>
      <c r="AC21" s="9" t="s">
        <v>365</v>
      </c>
      <c r="AD21" s="8">
        <f>SUM(AD5:AD20)</f>
        <v>1947.0957127967808</v>
      </c>
      <c r="AE21" s="64"/>
      <c r="AF21" s="63"/>
      <c r="AG21" s="62">
        <f>SUM(AG5:AG20)</f>
        <v>176.2161710995976</v>
      </c>
      <c r="AH21" s="62">
        <f>SUM(AH5:AH20)</f>
        <v>437.82500597887321</v>
      </c>
      <c r="AI21" s="62">
        <f t="shared" ref="AI21:AJ21" si="17">SUM(AI5:AI20)</f>
        <v>99.999999999999972</v>
      </c>
      <c r="AJ21" s="62">
        <f t="shared" si="17"/>
        <v>99.999999999999986</v>
      </c>
      <c r="AM21" s="9" t="s">
        <v>365</v>
      </c>
      <c r="AN21" s="14">
        <f>SUM(AN5:AN20)</f>
        <v>452.88710440907147</v>
      </c>
      <c r="AO21" s="14">
        <f>SUM(AO5:AO20)</f>
        <v>324.82283730143314</v>
      </c>
      <c r="AP21" s="14">
        <f>SUM(AP5:AP20)</f>
        <v>316.87113759299115</v>
      </c>
      <c r="AQ21" s="14">
        <f>SUM(AQ5:AQ20)</f>
        <v>146.60668565614978</v>
      </c>
      <c r="AR21" s="14">
        <f>SUM(AR5:AR20)</f>
        <v>705.90794783713523</v>
      </c>
      <c r="AS21" s="8">
        <f t="shared" ref="AS21:AS22" si="18">SUM(AN21:AR21)</f>
        <v>1947.0957127967806</v>
      </c>
    </row>
    <row r="22" spans="1:45" ht="30">
      <c r="A22">
        <v>51</v>
      </c>
      <c r="B22">
        <v>1</v>
      </c>
      <c r="C22">
        <v>27</v>
      </c>
      <c r="D22" t="s">
        <v>102</v>
      </c>
      <c r="E22" t="s">
        <v>103</v>
      </c>
      <c r="F22">
        <v>32661</v>
      </c>
      <c r="G22" s="93">
        <v>589.6035158357123</v>
      </c>
      <c r="H22" s="93">
        <v>573.18001957287913</v>
      </c>
      <c r="I22" s="91">
        <f t="shared" si="0"/>
        <v>19257040.4307102</v>
      </c>
      <c r="J22">
        <f t="shared" si="1"/>
        <v>8.5919690478745286E-3</v>
      </c>
      <c r="K22" s="92">
        <f t="shared" si="14"/>
        <v>23.885673953091189</v>
      </c>
      <c r="L22" s="92">
        <f t="shared" si="14"/>
        <v>1460.6347381386699</v>
      </c>
      <c r="M22" s="92">
        <f t="shared" si="14"/>
        <v>87.930211235947922</v>
      </c>
      <c r="N22" s="92">
        <f t="shared" si="14"/>
        <v>489.74223572884813</v>
      </c>
      <c r="O22" s="92">
        <f t="shared" si="14"/>
        <v>1005.2603786013199</v>
      </c>
      <c r="P22" s="92">
        <f t="shared" si="14"/>
        <v>30.071891667560852</v>
      </c>
      <c r="Q22" s="92">
        <f t="shared" si="14"/>
        <v>8101.1911361966504</v>
      </c>
      <c r="R22" s="92">
        <f t="shared" si="3"/>
        <v>296.99389252475532</v>
      </c>
      <c r="S22" s="92">
        <f>Tableau14[[#This Row],[KUVC - Cidre]]*T$109</f>
        <v>19.108539162472951</v>
      </c>
      <c r="T22" s="92">
        <f>Tableau14[[#This Row],[KUVC - Bière, panaché]]*U$109</f>
        <v>1168.507790510936</v>
      </c>
      <c r="U22" s="92">
        <f>Tableau14[[#This Row],[KUVC - Champagne / Mousseux]]*V$109</f>
        <v>17.586042247189585</v>
      </c>
      <c r="V22" s="92">
        <f>Tableau14[[#This Row],[KUVC - Jus / Nectar]]*W$109</f>
        <v>61.217779466106016</v>
      </c>
      <c r="W22" s="92">
        <f>Tableau14[[#This Row],[KUVC autres boissons sans alcool]]*X$109</f>
        <v>125.65754732516498</v>
      </c>
      <c r="X22" s="92">
        <f>Tableau14[[#This Row],[KUVC miel ]]*Y$109</f>
        <v>10.525162083646297</v>
      </c>
      <c r="Y22" s="92">
        <f>Tableau14[[#This Row],[KUVC Ind. Lait]]*Z$109</f>
        <v>1012.6488920245813</v>
      </c>
      <c r="Z22" s="92">
        <f>Tableau14[[#This Row],[KUVC fermiers]]*AA$109</f>
        <v>103.94786238366436</v>
      </c>
      <c r="AC22" s="144" t="s">
        <v>451</v>
      </c>
      <c r="AD22" s="144"/>
      <c r="AE22" s="145"/>
      <c r="AF22" s="145"/>
      <c r="AG22" s="144"/>
      <c r="AH22" s="144"/>
      <c r="AI22" s="145"/>
      <c r="AJ22" s="145"/>
      <c r="AM22" s="52" t="s">
        <v>317</v>
      </c>
      <c r="AN22" s="16">
        <f>(AN21/$AS$21)*100</f>
        <v>23.25962208393705</v>
      </c>
      <c r="AO22" s="16">
        <f>(AO21/$AS$21)*100</f>
        <v>16.682427841970966</v>
      </c>
      <c r="AP22" s="16">
        <f>(AP21/$AS$21)*100</f>
        <v>16.274040126041978</v>
      </c>
      <c r="AQ22" s="16">
        <f>(AQ21/$AS$21)*100</f>
        <v>7.5295058528769516</v>
      </c>
      <c r="AR22" s="16">
        <f>(AR21/$AS$21)*100</f>
        <v>36.254404095173065</v>
      </c>
      <c r="AS22" s="10">
        <f t="shared" si="18"/>
        <v>100</v>
      </c>
    </row>
    <row r="23" spans="1:45">
      <c r="A23">
        <v>52</v>
      </c>
      <c r="B23">
        <v>1</v>
      </c>
      <c r="C23">
        <v>27</v>
      </c>
      <c r="D23" t="s">
        <v>104</v>
      </c>
      <c r="E23" t="s">
        <v>105</v>
      </c>
      <c r="F23">
        <v>82615</v>
      </c>
      <c r="G23" s="93">
        <v>746.78844979379141</v>
      </c>
      <c r="H23" s="93">
        <v>705.83728680146282</v>
      </c>
      <c r="I23" s="91">
        <f t="shared" si="0"/>
        <v>61695927.779714078</v>
      </c>
      <c r="J23">
        <f t="shared" si="1"/>
        <v>2.7527049328818175E-2</v>
      </c>
      <c r="K23" s="92">
        <f t="shared" si="14"/>
        <v>76.525197134114535</v>
      </c>
      <c r="L23" s="92">
        <f t="shared" si="14"/>
        <v>4679.5983858990903</v>
      </c>
      <c r="M23" s="92">
        <f t="shared" si="14"/>
        <v>281.71182283112523</v>
      </c>
      <c r="N23" s="92">
        <f t="shared" si="14"/>
        <v>1569.0418117426359</v>
      </c>
      <c r="O23" s="92">
        <f t="shared" si="14"/>
        <v>3220.6647714717269</v>
      </c>
      <c r="P23" s="92">
        <f t="shared" si="14"/>
        <v>96.344672650863615</v>
      </c>
      <c r="Q23" s="92">
        <f t="shared" si="14"/>
        <v>25954.689406549445</v>
      </c>
      <c r="R23" s="92">
        <f t="shared" si="3"/>
        <v>951.51245125924618</v>
      </c>
      <c r="S23" s="92">
        <f>Tableau14[[#This Row],[KUVC - Cidre]]*T$109</f>
        <v>61.220157707291634</v>
      </c>
      <c r="T23" s="92">
        <f>Tableau14[[#This Row],[KUVC - Bière, panaché]]*U$109</f>
        <v>3743.6787087192724</v>
      </c>
      <c r="U23" s="92">
        <f>Tableau14[[#This Row],[KUVC - Champagne / Mousseux]]*V$109</f>
        <v>56.342364566225051</v>
      </c>
      <c r="V23" s="92">
        <f>Tableau14[[#This Row],[KUVC - Jus / Nectar]]*W$109</f>
        <v>196.13022646782949</v>
      </c>
      <c r="W23" s="92">
        <f>Tableau14[[#This Row],[KUVC autres boissons sans alcool]]*X$109</f>
        <v>402.58309643396586</v>
      </c>
      <c r="X23" s="92">
        <f>Tableau14[[#This Row],[KUVC miel ]]*Y$109</f>
        <v>33.720635427802264</v>
      </c>
      <c r="Y23" s="92">
        <f>Tableau14[[#This Row],[KUVC Ind. Lait]]*Z$109</f>
        <v>3244.3361758186807</v>
      </c>
      <c r="Z23" s="92">
        <f>Tableau14[[#This Row],[KUVC fermiers]]*AA$109</f>
        <v>333.02935794073613</v>
      </c>
      <c r="AM23" s="146" t="s">
        <v>406</v>
      </c>
      <c r="AN23" s="146"/>
      <c r="AO23" s="146"/>
      <c r="AP23" s="146"/>
      <c r="AQ23" s="146"/>
      <c r="AR23" s="146"/>
      <c r="AS23" s="146"/>
    </row>
    <row r="24" spans="1:45">
      <c r="A24">
        <v>55</v>
      </c>
      <c r="B24">
        <v>1</v>
      </c>
      <c r="C24">
        <v>27</v>
      </c>
      <c r="D24" t="s">
        <v>110</v>
      </c>
      <c r="E24" t="s">
        <v>111</v>
      </c>
      <c r="F24">
        <v>103175</v>
      </c>
      <c r="G24" s="93">
        <v>597.45532001195477</v>
      </c>
      <c r="H24" s="93">
        <v>576.47561700724316</v>
      </c>
      <c r="I24" s="91">
        <f t="shared" si="0"/>
        <v>61642452.642233431</v>
      </c>
      <c r="J24">
        <f t="shared" si="1"/>
        <v>2.7503190173112615E-2</v>
      </c>
      <c r="K24" s="92">
        <f t="shared" si="14"/>
        <v>76.458868681253065</v>
      </c>
      <c r="L24" s="92">
        <f t="shared" si="14"/>
        <v>4675.542329429144</v>
      </c>
      <c r="M24" s="92">
        <f t="shared" si="14"/>
        <v>281.46764823163448</v>
      </c>
      <c r="N24" s="92">
        <f t="shared" si="14"/>
        <v>1567.6818398674191</v>
      </c>
      <c r="O24" s="92">
        <f t="shared" si="14"/>
        <v>3217.8732502541761</v>
      </c>
      <c r="P24" s="92">
        <f t="shared" si="14"/>
        <v>96.261165605894149</v>
      </c>
      <c r="Q24" s="92">
        <f t="shared" si="14"/>
        <v>25932.193098701726</v>
      </c>
      <c r="R24" s="92">
        <f t="shared" si="3"/>
        <v>950.68772487977878</v>
      </c>
      <c r="S24" s="92">
        <f>Tableau14[[#This Row],[KUVC - Cidre]]*T$109</f>
        <v>61.167094945002454</v>
      </c>
      <c r="T24" s="92">
        <f>Tableau14[[#This Row],[KUVC - Bière, panaché]]*U$109</f>
        <v>3740.4338635433155</v>
      </c>
      <c r="U24" s="92">
        <f>Tableau14[[#This Row],[KUVC - Champagne / Mousseux]]*V$109</f>
        <v>56.293529646326903</v>
      </c>
      <c r="V24" s="92">
        <f>Tableau14[[#This Row],[KUVC - Jus / Nectar]]*W$109</f>
        <v>195.96022998342738</v>
      </c>
      <c r="W24" s="92">
        <f>Tableau14[[#This Row],[KUVC autres boissons sans alcool]]*X$109</f>
        <v>402.23415628177202</v>
      </c>
      <c r="X24" s="92">
        <f>Tableau14[[#This Row],[KUVC miel ]]*Y$109</f>
        <v>33.691407962062947</v>
      </c>
      <c r="Y24" s="92">
        <f>Tableau14[[#This Row],[KUVC Ind. Lait]]*Z$109</f>
        <v>3241.5241373377157</v>
      </c>
      <c r="Z24" s="92">
        <f>Tableau14[[#This Row],[KUVC fermiers]]*AA$109</f>
        <v>332.74070370792253</v>
      </c>
    </row>
    <row r="25" spans="1:45">
      <c r="A25">
        <v>14</v>
      </c>
      <c r="B25">
        <v>2</v>
      </c>
      <c r="C25">
        <v>27</v>
      </c>
      <c r="D25" t="s">
        <v>28</v>
      </c>
      <c r="E25" t="s">
        <v>29</v>
      </c>
      <c r="F25">
        <v>32651</v>
      </c>
      <c r="G25" s="93">
        <v>625.29061888294996</v>
      </c>
      <c r="H25" s="93">
        <v>592.31491634778877</v>
      </c>
      <c r="I25" s="91">
        <f t="shared" si="0"/>
        <v>20416363.997147199</v>
      </c>
      <c r="J25">
        <f t="shared" si="1"/>
        <v>9.1092277738526427E-3</v>
      </c>
      <c r="K25" s="92">
        <f t="shared" ref="K25:Q34" si="19">$J25*K$79*1000</f>
        <v>25.323653211310347</v>
      </c>
      <c r="L25" s="92">
        <f t="shared" si="19"/>
        <v>1548.5687215549492</v>
      </c>
      <c r="M25" s="92">
        <f t="shared" si="19"/>
        <v>93.22383703760795</v>
      </c>
      <c r="N25" s="92">
        <f t="shared" si="19"/>
        <v>519.22598310960063</v>
      </c>
      <c r="O25" s="92">
        <f t="shared" si="19"/>
        <v>1065.7796495407592</v>
      </c>
      <c r="P25" s="92">
        <f t="shared" si="19"/>
        <v>31.882297208484246</v>
      </c>
      <c r="Q25" s="92">
        <f t="shared" si="19"/>
        <v>8588.9037644271812</v>
      </c>
      <c r="R25" s="92">
        <f t="shared" si="3"/>
        <v>314.87369186000075</v>
      </c>
      <c r="S25" s="92">
        <f>Tableau14[[#This Row],[KUVC - Cidre]]*T$109</f>
        <v>20.258922569048281</v>
      </c>
      <c r="T25" s="92">
        <f>Tableau14[[#This Row],[KUVC - Bière, panaché]]*U$109</f>
        <v>1238.8549772439594</v>
      </c>
      <c r="U25" s="92">
        <f>Tableau14[[#This Row],[KUVC - Champagne / Mousseux]]*V$109</f>
        <v>18.644767407521591</v>
      </c>
      <c r="V25" s="92">
        <f>Tableau14[[#This Row],[KUVC - Jus / Nectar]]*W$109</f>
        <v>64.903247888700079</v>
      </c>
      <c r="W25" s="92">
        <f>Tableau14[[#This Row],[KUVC autres boissons sans alcool]]*X$109</f>
        <v>133.2224561925949</v>
      </c>
      <c r="X25" s="92">
        <f>Tableau14[[#This Row],[KUVC miel ]]*Y$109</f>
        <v>11.158804022969486</v>
      </c>
      <c r="Y25" s="92">
        <f>Tableau14[[#This Row],[KUVC Ind. Lait]]*Z$109</f>
        <v>1073.6129705533976</v>
      </c>
      <c r="Z25" s="92">
        <f>Tableau14[[#This Row],[KUVC fermiers]]*AA$109</f>
        <v>110.20579215100025</v>
      </c>
    </row>
    <row r="26" spans="1:45">
      <c r="A26">
        <v>15</v>
      </c>
      <c r="B26">
        <v>2</v>
      </c>
      <c r="C26">
        <v>27</v>
      </c>
      <c r="D26" t="s">
        <v>30</v>
      </c>
      <c r="E26" t="s">
        <v>31</v>
      </c>
      <c r="F26">
        <v>20456</v>
      </c>
      <c r="G26" s="93">
        <v>639.55934720390292</v>
      </c>
      <c r="H26" s="93">
        <v>574.13924836667945</v>
      </c>
      <c r="I26" s="91">
        <f t="shared" si="0"/>
        <v>13082826.006403038</v>
      </c>
      <c r="J26">
        <f t="shared" si="1"/>
        <v>5.8372020617706759E-3</v>
      </c>
      <c r="K26" s="92">
        <f t="shared" si="19"/>
        <v>16.227421731722476</v>
      </c>
      <c r="L26" s="92">
        <f t="shared" si="19"/>
        <v>992.32435050101481</v>
      </c>
      <c r="M26" s="92">
        <f t="shared" si="19"/>
        <v>59.737925900161095</v>
      </c>
      <c r="N26" s="92">
        <f t="shared" si="19"/>
        <v>332.72051752092852</v>
      </c>
      <c r="O26" s="92">
        <f t="shared" si="19"/>
        <v>682.95264122716901</v>
      </c>
      <c r="P26" s="92">
        <f t="shared" si="19"/>
        <v>20.430207216197363</v>
      </c>
      <c r="Q26" s="92">
        <f t="shared" si="19"/>
        <v>5503.777927913221</v>
      </c>
      <c r="R26" s="92">
        <f t="shared" si="3"/>
        <v>201.77136953346681</v>
      </c>
      <c r="S26" s="92">
        <f>Tableau14[[#This Row],[KUVC - Cidre]]*T$109</f>
        <v>12.981937385377982</v>
      </c>
      <c r="T26" s="92">
        <f>Tableau14[[#This Row],[KUVC - Bière, panaché]]*U$109</f>
        <v>793.85948040081189</v>
      </c>
      <c r="U26" s="92">
        <f>Tableau14[[#This Row],[KUVC - Champagne / Mousseux]]*V$109</f>
        <v>11.94758518003222</v>
      </c>
      <c r="V26" s="92">
        <f>Tableau14[[#This Row],[KUVC - Jus / Nectar]]*W$109</f>
        <v>41.590064690116066</v>
      </c>
      <c r="W26" s="92">
        <f>Tableau14[[#This Row],[KUVC autres boissons sans alcool]]*X$109</f>
        <v>85.369080153396126</v>
      </c>
      <c r="X26" s="92">
        <f>Tableau14[[#This Row],[KUVC miel ]]*Y$109</f>
        <v>7.1505725256690766</v>
      </c>
      <c r="Y26" s="92">
        <f>Tableau14[[#This Row],[KUVC Ind. Lait]]*Z$109</f>
        <v>687.97224098915262</v>
      </c>
      <c r="Z26" s="92">
        <f>Tableau14[[#This Row],[KUVC fermiers]]*AA$109</f>
        <v>70.619979336713385</v>
      </c>
    </row>
    <row r="27" spans="1:45">
      <c r="A27">
        <v>17</v>
      </c>
      <c r="B27">
        <v>2</v>
      </c>
      <c r="C27">
        <v>27</v>
      </c>
      <c r="D27" t="s">
        <v>34</v>
      </c>
      <c r="E27" t="s">
        <v>35</v>
      </c>
      <c r="F27">
        <v>41424</v>
      </c>
      <c r="G27" s="93">
        <v>703.53513536344042</v>
      </c>
      <c r="H27" s="93">
        <v>682.40693076545858</v>
      </c>
      <c r="I27" s="91">
        <f t="shared" si="0"/>
        <v>29143239.447295155</v>
      </c>
      <c r="J27">
        <f t="shared" si="1"/>
        <v>1.3002922862779766E-2</v>
      </c>
      <c r="K27" s="92">
        <f t="shared" si="19"/>
        <v>36.148125558527745</v>
      </c>
      <c r="L27" s="92">
        <f t="shared" si="19"/>
        <v>2210.4968866725603</v>
      </c>
      <c r="M27" s="92">
        <f t="shared" si="19"/>
        <v>133.07191257768812</v>
      </c>
      <c r="N27" s="92">
        <f t="shared" si="19"/>
        <v>741.16660317844662</v>
      </c>
      <c r="O27" s="92">
        <f t="shared" si="19"/>
        <v>1521.3419749452326</v>
      </c>
      <c r="P27" s="92">
        <f t="shared" si="19"/>
        <v>45.510230019729185</v>
      </c>
      <c r="Q27" s="92">
        <f t="shared" si="19"/>
        <v>12260.188887279441</v>
      </c>
      <c r="R27" s="92">
        <f t="shared" si="3"/>
        <v>449.46491935645679</v>
      </c>
      <c r="S27" s="92">
        <f>Tableau14[[#This Row],[KUVC - Cidre]]*T$109</f>
        <v>28.918500446822197</v>
      </c>
      <c r="T27" s="92">
        <f>Tableau14[[#This Row],[KUVC - Bière, panaché]]*U$109</f>
        <v>1768.3975093380484</v>
      </c>
      <c r="U27" s="92">
        <f>Tableau14[[#This Row],[KUVC - Champagne / Mousseux]]*V$109</f>
        <v>26.614382515537628</v>
      </c>
      <c r="V27" s="92">
        <f>Tableau14[[#This Row],[KUVC - Jus / Nectar]]*W$109</f>
        <v>92.645825397305828</v>
      </c>
      <c r="W27" s="92">
        <f>Tableau14[[#This Row],[KUVC autres boissons sans alcool]]*X$109</f>
        <v>190.16774686815407</v>
      </c>
      <c r="X27" s="92">
        <f>Tableau14[[#This Row],[KUVC miel ]]*Y$109</f>
        <v>15.928580506905213</v>
      </c>
      <c r="Y27" s="92">
        <f>Tableau14[[#This Row],[KUVC Ind. Lait]]*Z$109</f>
        <v>1532.5236109099301</v>
      </c>
      <c r="Z27" s="92">
        <f>Tableau14[[#This Row],[KUVC fermiers]]*AA$109</f>
        <v>157.31272177475986</v>
      </c>
    </row>
    <row r="28" spans="1:45">
      <c r="A28">
        <v>18</v>
      </c>
      <c r="B28">
        <v>2</v>
      </c>
      <c r="C28">
        <v>27</v>
      </c>
      <c r="D28" t="s">
        <v>36</v>
      </c>
      <c r="E28" t="s">
        <v>37</v>
      </c>
      <c r="F28">
        <v>54442</v>
      </c>
      <c r="G28" s="93">
        <v>683.18627468535203</v>
      </c>
      <c r="H28" s="93">
        <v>627.97593671484469</v>
      </c>
      <c r="I28" s="91">
        <f t="shared" si="0"/>
        <v>37194027.166419938</v>
      </c>
      <c r="J28">
        <f t="shared" si="1"/>
        <v>1.6594965946586982E-2</v>
      </c>
      <c r="K28" s="92">
        <f t="shared" si="19"/>
        <v>46.134005331511808</v>
      </c>
      <c r="L28" s="92">
        <f t="shared" si="19"/>
        <v>2821.1442109197869</v>
      </c>
      <c r="M28" s="92">
        <f t="shared" si="19"/>
        <v>169.83288149737118</v>
      </c>
      <c r="N28" s="92">
        <f t="shared" si="19"/>
        <v>945.91305895545793</v>
      </c>
      <c r="O28" s="92">
        <f t="shared" si="19"/>
        <v>1941.6110157506769</v>
      </c>
      <c r="P28" s="92">
        <f t="shared" si="19"/>
        <v>58.082380813054442</v>
      </c>
      <c r="Q28" s="92">
        <f t="shared" si="19"/>
        <v>15647.052530436324</v>
      </c>
      <c r="R28" s="92">
        <f t="shared" si="3"/>
        <v>573.62910705688137</v>
      </c>
      <c r="S28" s="92">
        <f>Tableau14[[#This Row],[KUVC - Cidre]]*T$109</f>
        <v>36.907204265209451</v>
      </c>
      <c r="T28" s="92">
        <f>Tableau14[[#This Row],[KUVC - Bière, panaché]]*U$109</f>
        <v>2256.9153687358298</v>
      </c>
      <c r="U28" s="92">
        <f>Tableau14[[#This Row],[KUVC - Champagne / Mousseux]]*V$109</f>
        <v>33.966576299474234</v>
      </c>
      <c r="V28" s="92">
        <f>Tableau14[[#This Row],[KUVC - Jus / Nectar]]*W$109</f>
        <v>118.23913236943224</v>
      </c>
      <c r="W28" s="92">
        <f>Tableau14[[#This Row],[KUVC autres boissons sans alcool]]*X$109</f>
        <v>242.70137696883461</v>
      </c>
      <c r="X28" s="92">
        <f>Tableau14[[#This Row],[KUVC miel ]]*Y$109</f>
        <v>20.328833284569054</v>
      </c>
      <c r="Y28" s="92">
        <f>Tableau14[[#This Row],[KUVC Ind. Lait]]*Z$109</f>
        <v>1955.8815663045405</v>
      </c>
      <c r="Z28" s="92">
        <f>Tableau14[[#This Row],[KUVC fermiers]]*AA$109</f>
        <v>200.77018746990848</v>
      </c>
    </row>
    <row r="29" spans="1:45">
      <c r="A29">
        <v>19</v>
      </c>
      <c r="B29">
        <v>2</v>
      </c>
      <c r="C29">
        <v>27</v>
      </c>
      <c r="D29" t="s">
        <v>38</v>
      </c>
      <c r="E29" t="s">
        <v>39</v>
      </c>
      <c r="F29">
        <v>37613</v>
      </c>
      <c r="G29" s="93">
        <v>613.09541748410425</v>
      </c>
      <c r="H29" s="93">
        <v>549.35708005846118</v>
      </c>
      <c r="I29" s="91">
        <f t="shared" si="0"/>
        <v>23060357.937829614</v>
      </c>
      <c r="J29">
        <f t="shared" si="1"/>
        <v>1.0288906145659089E-2</v>
      </c>
      <c r="K29" s="92">
        <f t="shared" si="19"/>
        <v>28.603159084932265</v>
      </c>
      <c r="L29" s="92">
        <f t="shared" si="19"/>
        <v>1749.1140447620453</v>
      </c>
      <c r="M29" s="92">
        <f t="shared" si="19"/>
        <v>105.29666549467512</v>
      </c>
      <c r="N29" s="92">
        <f t="shared" si="19"/>
        <v>586.46765030256813</v>
      </c>
      <c r="O29" s="92">
        <f t="shared" si="19"/>
        <v>1203.8020190421134</v>
      </c>
      <c r="P29" s="92">
        <f t="shared" si="19"/>
        <v>36.011171509806815</v>
      </c>
      <c r="Q29" s="92">
        <f t="shared" si="19"/>
        <v>9701.1982706097224</v>
      </c>
      <c r="R29" s="92">
        <f t="shared" si="3"/>
        <v>355.6509886144313</v>
      </c>
      <c r="S29" s="92">
        <f>Tableau14[[#This Row],[KUVC - Cidre]]*T$109</f>
        <v>22.882527267945814</v>
      </c>
      <c r="T29" s="92">
        <f>Tableau14[[#This Row],[KUVC - Bière, panaché]]*U$109</f>
        <v>1399.2912358096364</v>
      </c>
      <c r="U29" s="92">
        <f>Tableau14[[#This Row],[KUVC - Champagne / Mousseux]]*V$109</f>
        <v>21.059333098935028</v>
      </c>
      <c r="V29" s="92">
        <f>Tableau14[[#This Row],[KUVC - Jus / Nectar]]*W$109</f>
        <v>73.308456287821016</v>
      </c>
      <c r="W29" s="92">
        <f>Tableau14[[#This Row],[KUVC autres boissons sans alcool]]*X$109</f>
        <v>150.47525238026418</v>
      </c>
      <c r="X29" s="92">
        <f>Tableau14[[#This Row],[KUVC miel ]]*Y$109</f>
        <v>12.603910028432384</v>
      </c>
      <c r="Y29" s="92">
        <f>Tableau14[[#This Row],[KUVC Ind. Lait]]*Z$109</f>
        <v>1212.6497838262153</v>
      </c>
      <c r="Z29" s="92">
        <f>Tableau14[[#This Row],[KUVC fermiers]]*AA$109</f>
        <v>124.47784601505094</v>
      </c>
    </row>
    <row r="30" spans="1:45">
      <c r="A30">
        <v>62</v>
      </c>
      <c r="B30">
        <v>2</v>
      </c>
      <c r="C30">
        <v>27</v>
      </c>
      <c r="D30" t="s">
        <v>124</v>
      </c>
      <c r="E30" t="s">
        <v>125</v>
      </c>
      <c r="F30">
        <v>22555</v>
      </c>
      <c r="G30" s="93">
        <v>790.78896505132911</v>
      </c>
      <c r="H30" s="93">
        <v>755.98311271632338</v>
      </c>
      <c r="I30" s="91">
        <f t="shared" si="0"/>
        <v>17836245.10673273</v>
      </c>
      <c r="J30">
        <f t="shared" si="1"/>
        <v>7.9580487167154653E-3</v>
      </c>
      <c r="K30" s="92">
        <f t="shared" si="19"/>
        <v>22.123375432468993</v>
      </c>
      <c r="L30" s="92">
        <f t="shared" si="19"/>
        <v>1352.8682818416291</v>
      </c>
      <c r="M30" s="92">
        <f t="shared" si="19"/>
        <v>81.44267056686607</v>
      </c>
      <c r="N30" s="92">
        <f t="shared" si="19"/>
        <v>453.60877685278149</v>
      </c>
      <c r="O30" s="92">
        <f t="shared" si="19"/>
        <v>931.09169985570941</v>
      </c>
      <c r="P30" s="92">
        <f t="shared" si="19"/>
        <v>27.853170508504128</v>
      </c>
      <c r="Q30" s="92">
        <f t="shared" si="19"/>
        <v>7503.4806766703714</v>
      </c>
      <c r="R30" s="92">
        <f t="shared" si="3"/>
        <v>275.08151532082604</v>
      </c>
      <c r="S30" s="92">
        <f>Tableau14[[#This Row],[KUVC - Cidre]]*T$109</f>
        <v>17.698700345975194</v>
      </c>
      <c r="T30" s="92">
        <f>Tableau14[[#This Row],[KUVC - Bière, panaché]]*U$109</f>
        <v>1082.2946254733033</v>
      </c>
      <c r="U30" s="92">
        <f>Tableau14[[#This Row],[KUVC - Champagne / Mousseux]]*V$109</f>
        <v>16.288534113373213</v>
      </c>
      <c r="V30" s="92">
        <f>Tableau14[[#This Row],[KUVC - Jus / Nectar]]*W$109</f>
        <v>56.701097106597686</v>
      </c>
      <c r="W30" s="92">
        <f>Tableau14[[#This Row],[KUVC autres boissons sans alcool]]*X$109</f>
        <v>116.38646248196368</v>
      </c>
      <c r="X30" s="92">
        <f>Tableau14[[#This Row],[KUVC miel ]]*Y$109</f>
        <v>9.7486096779764448</v>
      </c>
      <c r="Y30" s="92">
        <f>Tableau14[[#This Row],[KUVC Ind. Lait]]*Z$109</f>
        <v>937.93508458379642</v>
      </c>
      <c r="Z30" s="92">
        <f>Tableau14[[#This Row],[KUVC fermiers]]*AA$109</f>
        <v>96.278530362289104</v>
      </c>
    </row>
    <row r="31" spans="1:45">
      <c r="A31">
        <v>7</v>
      </c>
      <c r="B31">
        <v>3</v>
      </c>
      <c r="C31">
        <v>27</v>
      </c>
      <c r="D31" t="s">
        <v>14</v>
      </c>
      <c r="E31" t="s">
        <v>15</v>
      </c>
      <c r="F31">
        <v>10846</v>
      </c>
      <c r="G31" s="93">
        <v>613.09541748410425</v>
      </c>
      <c r="H31" s="93">
        <v>549.35708005846118</v>
      </c>
      <c r="I31" s="91">
        <f t="shared" si="0"/>
        <v>6649632.8980325945</v>
      </c>
      <c r="J31">
        <f t="shared" si="1"/>
        <v>2.9668858122409401E-3</v>
      </c>
      <c r="K31" s="92">
        <f t="shared" si="19"/>
        <v>8.2479425580298127</v>
      </c>
      <c r="L31" s="92">
        <f t="shared" si="19"/>
        <v>504.37058808095981</v>
      </c>
      <c r="M31" s="92">
        <f t="shared" si="19"/>
        <v>30.363109402473782</v>
      </c>
      <c r="N31" s="92">
        <f t="shared" si="19"/>
        <v>169.11249129773358</v>
      </c>
      <c r="O31" s="92">
        <f t="shared" si="19"/>
        <v>347.12564003219001</v>
      </c>
      <c r="P31" s="92">
        <f t="shared" si="19"/>
        <v>10.38410034284329</v>
      </c>
      <c r="Q31" s="92">
        <f t="shared" si="19"/>
        <v>2797.4156925273992</v>
      </c>
      <c r="R31" s="92">
        <f t="shared" si="3"/>
        <v>102.5547183822647</v>
      </c>
      <c r="S31" s="92">
        <f>Tableau14[[#This Row],[KUVC - Cidre]]*T$109</f>
        <v>6.5983540464238501</v>
      </c>
      <c r="T31" s="92">
        <f>Tableau14[[#This Row],[KUVC - Bière, panaché]]*U$109</f>
        <v>403.49647046476787</v>
      </c>
      <c r="U31" s="92">
        <f>Tableau14[[#This Row],[KUVC - Champagne / Mousseux]]*V$109</f>
        <v>6.0726218804947569</v>
      </c>
      <c r="V31" s="92">
        <f>Tableau14[[#This Row],[KUVC - Jus / Nectar]]*W$109</f>
        <v>21.139061412216698</v>
      </c>
      <c r="W31" s="92">
        <f>Tableau14[[#This Row],[KUVC autres boissons sans alcool]]*X$109</f>
        <v>43.390705004023751</v>
      </c>
      <c r="X31" s="92">
        <f>Tableau14[[#This Row],[KUVC miel ]]*Y$109</f>
        <v>3.634435119995151</v>
      </c>
      <c r="Y31" s="92">
        <f>Tableau14[[#This Row],[KUVC Ind. Lait]]*Z$109</f>
        <v>349.6769615659249</v>
      </c>
      <c r="Z31" s="92">
        <f>Tableau14[[#This Row],[KUVC fermiers]]*AA$109</f>
        <v>35.894151433792644</v>
      </c>
    </row>
    <row r="32" spans="1:45">
      <c r="A32">
        <v>47</v>
      </c>
      <c r="B32">
        <v>3</v>
      </c>
      <c r="C32">
        <v>27</v>
      </c>
      <c r="D32" t="s">
        <v>94</v>
      </c>
      <c r="E32" t="s">
        <v>95</v>
      </c>
      <c r="F32">
        <v>110627</v>
      </c>
      <c r="G32" s="93">
        <v>503.3361392247179</v>
      </c>
      <c r="H32" s="93">
        <v>475.84807129158713</v>
      </c>
      <c r="I32" s="91">
        <f t="shared" si="0"/>
        <v>55682567.074012868</v>
      </c>
      <c r="J32">
        <f t="shared" si="1"/>
        <v>2.4844050908422573E-2</v>
      </c>
      <c r="K32" s="92">
        <f t="shared" si="19"/>
        <v>69.066461525414752</v>
      </c>
      <c r="L32" s="92">
        <f t="shared" si="19"/>
        <v>4223.4886544318369</v>
      </c>
      <c r="M32" s="92">
        <f t="shared" si="19"/>
        <v>254.25401699679662</v>
      </c>
      <c r="N32" s="92">
        <f t="shared" si="19"/>
        <v>1416.1109017800866</v>
      </c>
      <c r="O32" s="92">
        <f t="shared" si="19"/>
        <v>2906.7539562854413</v>
      </c>
      <c r="P32" s="92">
        <f t="shared" si="19"/>
        <v>86.954178179479001</v>
      </c>
      <c r="Q32" s="92">
        <f t="shared" si="19"/>
        <v>23424.945304745987</v>
      </c>
      <c r="R32" s="92">
        <f t="shared" si="3"/>
        <v>858.7707130068045</v>
      </c>
      <c r="S32" s="92">
        <f>Tableau14[[#This Row],[KUVC - Cidre]]*T$109</f>
        <v>55.253169220331806</v>
      </c>
      <c r="T32" s="92">
        <f>Tableau14[[#This Row],[KUVC - Bière, panaché]]*U$109</f>
        <v>3378.7909235454699</v>
      </c>
      <c r="U32" s="92">
        <f>Tableau14[[#This Row],[KUVC - Champagne / Mousseux]]*V$109</f>
        <v>50.850803399359329</v>
      </c>
      <c r="V32" s="92">
        <f>Tableau14[[#This Row],[KUVC - Jus / Nectar]]*W$109</f>
        <v>177.01386272251082</v>
      </c>
      <c r="W32" s="92">
        <f>Tableau14[[#This Row],[KUVC autres boissons sans alcool]]*X$109</f>
        <v>363.34424453568016</v>
      </c>
      <c r="X32" s="92">
        <f>Tableau14[[#This Row],[KUVC miel ]]*Y$109</f>
        <v>30.433962362817649</v>
      </c>
      <c r="Y32" s="92">
        <f>Tableau14[[#This Row],[KUVC Ind. Lait]]*Z$109</f>
        <v>2928.1181630932483</v>
      </c>
      <c r="Z32" s="92">
        <f>Tableau14[[#This Row],[KUVC fermiers]]*AA$109</f>
        <v>300.56974955238155</v>
      </c>
    </row>
    <row r="33" spans="1:26">
      <c r="A33">
        <v>61</v>
      </c>
      <c r="B33">
        <v>3</v>
      </c>
      <c r="C33">
        <v>27</v>
      </c>
      <c r="D33" t="s">
        <v>122</v>
      </c>
      <c r="E33" t="s">
        <v>123</v>
      </c>
      <c r="F33">
        <v>18411</v>
      </c>
      <c r="G33" s="93">
        <v>799.223551866619</v>
      </c>
      <c r="H33" s="93">
        <v>756.77617050799734</v>
      </c>
      <c r="I33" s="91">
        <f t="shared" si="0"/>
        <v>14714504.813416323</v>
      </c>
      <c r="J33">
        <f t="shared" si="1"/>
        <v>6.5652128823520985E-3</v>
      </c>
      <c r="K33" s="92">
        <f t="shared" si="19"/>
        <v>18.251291812938835</v>
      </c>
      <c r="L33" s="92">
        <f t="shared" si="19"/>
        <v>1116.0861899998567</v>
      </c>
      <c r="M33" s="92">
        <f t="shared" si="19"/>
        <v>67.188388637991366</v>
      </c>
      <c r="N33" s="92">
        <f t="shared" si="19"/>
        <v>374.21713429406958</v>
      </c>
      <c r="O33" s="92">
        <f t="shared" si="19"/>
        <v>768.12990723519545</v>
      </c>
      <c r="P33" s="92">
        <f t="shared" si="19"/>
        <v>22.978245088232345</v>
      </c>
      <c r="Q33" s="92">
        <f t="shared" si="19"/>
        <v>6190.2043772971901</v>
      </c>
      <c r="R33" s="92">
        <f t="shared" si="3"/>
        <v>226.93612119864008</v>
      </c>
      <c r="S33" s="92">
        <f>Tableau14[[#This Row],[KUVC - Cidre]]*T$109</f>
        <v>14.601033450351068</v>
      </c>
      <c r="T33" s="92">
        <f>Tableau14[[#This Row],[KUVC - Bière, panaché]]*U$109</f>
        <v>892.86895199988544</v>
      </c>
      <c r="U33" s="92">
        <f>Tableau14[[#This Row],[KUVC - Champagne / Mousseux]]*V$109</f>
        <v>13.437677727598274</v>
      </c>
      <c r="V33" s="92">
        <f>Tableau14[[#This Row],[KUVC - Jus / Nectar]]*W$109</f>
        <v>46.777141786758698</v>
      </c>
      <c r="W33" s="92">
        <f>Tableau14[[#This Row],[KUVC autres boissons sans alcool]]*X$109</f>
        <v>96.016238404399431</v>
      </c>
      <c r="X33" s="92">
        <f>Tableau14[[#This Row],[KUVC miel ]]*Y$109</f>
        <v>8.0423857808813199</v>
      </c>
      <c r="Y33" s="92">
        <f>Tableau14[[#This Row],[KUVC Ind. Lait]]*Z$109</f>
        <v>773.77554716214877</v>
      </c>
      <c r="Z33" s="92">
        <f>Tableau14[[#This Row],[KUVC fermiers]]*AA$109</f>
        <v>79.42764241952402</v>
      </c>
    </row>
    <row r="34" spans="1:26">
      <c r="A34">
        <v>8</v>
      </c>
      <c r="B34">
        <v>1</v>
      </c>
      <c r="C34">
        <v>50</v>
      </c>
      <c r="D34" t="s">
        <v>16</v>
      </c>
      <c r="E34" t="s">
        <v>17</v>
      </c>
      <c r="F34">
        <v>44569</v>
      </c>
      <c r="G34" s="93">
        <v>749.43078148032487</v>
      </c>
      <c r="H34" s="93">
        <v>589.08000159104142</v>
      </c>
      <c r="I34" s="91">
        <f t="shared" si="0"/>
        <v>33401380.499796599</v>
      </c>
      <c r="J34">
        <f t="shared" si="1"/>
        <v>1.4902789888360237E-2</v>
      </c>
      <c r="K34" s="92">
        <f t="shared" si="19"/>
        <v>41.429755889641456</v>
      </c>
      <c r="L34" s="92">
        <f t="shared" si="19"/>
        <v>2533.4742810212406</v>
      </c>
      <c r="M34" s="92">
        <f t="shared" si="19"/>
        <v>152.51515171747869</v>
      </c>
      <c r="N34" s="92">
        <f t="shared" si="19"/>
        <v>849.45902363653363</v>
      </c>
      <c r="O34" s="92">
        <f t="shared" si="19"/>
        <v>1743.6264169381477</v>
      </c>
      <c r="P34" s="92">
        <f t="shared" si="19"/>
        <v>52.159764609260833</v>
      </c>
      <c r="Q34" s="92">
        <f t="shared" si="19"/>
        <v>14051.534482430561</v>
      </c>
      <c r="R34" s="92">
        <f t="shared" si="3"/>
        <v>515.13658321634421</v>
      </c>
      <c r="S34" s="92">
        <f>Tableau14[[#This Row],[KUVC - Cidre]]*T$109</f>
        <v>33.143804711713166</v>
      </c>
      <c r="T34" s="92">
        <f>Tableau14[[#This Row],[KUVC - Bière, panaché]]*U$109</f>
        <v>2026.7794248169926</v>
      </c>
      <c r="U34" s="92">
        <f>Tableau14[[#This Row],[KUVC - Champagne / Mousseux]]*V$109</f>
        <v>30.503030343495737</v>
      </c>
      <c r="V34" s="92">
        <f>Tableau14[[#This Row],[KUVC - Jus / Nectar]]*W$109</f>
        <v>106.1823779545667</v>
      </c>
      <c r="W34" s="92">
        <f>Tableau14[[#This Row],[KUVC autres boissons sans alcool]]*X$109</f>
        <v>217.95330211726846</v>
      </c>
      <c r="X34" s="92">
        <f>Tableau14[[#This Row],[KUVC miel ]]*Y$109</f>
        <v>18.255917613241291</v>
      </c>
      <c r="Y34" s="92">
        <f>Tableau14[[#This Row],[KUVC Ind. Lait]]*Z$109</f>
        <v>1756.4418103038201</v>
      </c>
      <c r="Z34" s="92">
        <f>Tableau14[[#This Row],[KUVC fermiers]]*AA$109</f>
        <v>180.29780412572046</v>
      </c>
    </row>
    <row r="35" spans="1:26">
      <c r="A35">
        <v>34</v>
      </c>
      <c r="B35">
        <v>1</v>
      </c>
      <c r="C35">
        <v>50</v>
      </c>
      <c r="D35" t="s">
        <v>68</v>
      </c>
      <c r="E35" t="s">
        <v>69</v>
      </c>
      <c r="F35">
        <v>87571</v>
      </c>
      <c r="G35" s="93">
        <v>667.78907871761226</v>
      </c>
      <c r="H35" s="93">
        <v>605.87896406698496</v>
      </c>
      <c r="I35" s="91">
        <f t="shared" si="0"/>
        <v>58478957.412380025</v>
      </c>
      <c r="J35">
        <f t="shared" si="1"/>
        <v>2.6091724418766855E-2</v>
      </c>
      <c r="K35" s="92">
        <f t="shared" ref="K35:Q44" si="20">$J35*K$79*1000</f>
        <v>72.534993884171854</v>
      </c>
      <c r="L35" s="92">
        <f t="shared" si="20"/>
        <v>4435.5931511903655</v>
      </c>
      <c r="M35" s="92">
        <f t="shared" si="20"/>
        <v>267.02270770165995</v>
      </c>
      <c r="N35" s="92">
        <f t="shared" si="20"/>
        <v>1487.2282918697106</v>
      </c>
      <c r="O35" s="92">
        <f t="shared" si="20"/>
        <v>3052.7317569957222</v>
      </c>
      <c r="P35" s="92">
        <f t="shared" si="20"/>
        <v>91.321035465683991</v>
      </c>
      <c r="Q35" s="92">
        <f t="shared" si="20"/>
        <v>24601.351030435704</v>
      </c>
      <c r="R35" s="92">
        <f t="shared" si="3"/>
        <v>901.89836050791371</v>
      </c>
      <c r="S35" s="92">
        <f>Tableau14[[#This Row],[KUVC - Cidre]]*T$109</f>
        <v>58.027995107337489</v>
      </c>
      <c r="T35" s="92">
        <f>Tableau14[[#This Row],[KUVC - Bière, panaché]]*U$109</f>
        <v>3548.4745209522926</v>
      </c>
      <c r="U35" s="92">
        <f>Tableau14[[#This Row],[KUVC - Champagne / Mousseux]]*V$109</f>
        <v>53.404541540331991</v>
      </c>
      <c r="V35" s="92">
        <f>Tableau14[[#This Row],[KUVC - Jus / Nectar]]*W$109</f>
        <v>185.90353648371382</v>
      </c>
      <c r="W35" s="92">
        <f>Tableau14[[#This Row],[KUVC autres boissons sans alcool]]*X$109</f>
        <v>381.59146962446528</v>
      </c>
      <c r="X35" s="92">
        <f>Tableau14[[#This Row],[KUVC miel ]]*Y$109</f>
        <v>31.962362412989396</v>
      </c>
      <c r="Y35" s="92">
        <f>Tableau14[[#This Row],[KUVC Ind. Lait]]*Z$109</f>
        <v>3075.168878804463</v>
      </c>
      <c r="Z35" s="92">
        <f>Tableau14[[#This Row],[KUVC fermiers]]*AA$109</f>
        <v>315.66442617776977</v>
      </c>
    </row>
    <row r="36" spans="1:26">
      <c r="A36">
        <v>9</v>
      </c>
      <c r="B36">
        <v>2</v>
      </c>
      <c r="C36">
        <v>50</v>
      </c>
      <c r="D36" t="s">
        <v>18</v>
      </c>
      <c r="E36" t="s">
        <v>19</v>
      </c>
      <c r="F36">
        <v>23153</v>
      </c>
      <c r="G36" s="93">
        <v>736.98421057302744</v>
      </c>
      <c r="H36" s="93">
        <v>674.72024647408239</v>
      </c>
      <c r="I36" s="91">
        <f t="shared" si="0"/>
        <v>17063395.427397303</v>
      </c>
      <c r="J36">
        <f t="shared" si="1"/>
        <v>7.6132241551530293E-3</v>
      </c>
      <c r="K36" s="92">
        <f t="shared" si="20"/>
        <v>21.16476315132542</v>
      </c>
      <c r="L36" s="92">
        <f t="shared" si="20"/>
        <v>1294.2481063760149</v>
      </c>
      <c r="M36" s="92">
        <f t="shared" si="20"/>
        <v>77.913736003836092</v>
      </c>
      <c r="N36" s="92">
        <f t="shared" si="20"/>
        <v>433.95377684372266</v>
      </c>
      <c r="O36" s="92">
        <f t="shared" si="20"/>
        <v>890.74722615290443</v>
      </c>
      <c r="P36" s="92">
        <f t="shared" si="20"/>
        <v>26.646284543035602</v>
      </c>
      <c r="Q36" s="92">
        <f t="shared" si="20"/>
        <v>7178.3526802696442</v>
      </c>
      <c r="R36" s="92">
        <f t="shared" si="3"/>
        <v>263.16215339040747</v>
      </c>
      <c r="S36" s="92">
        <f>Tableau14[[#This Row],[KUVC - Cidre]]*T$109</f>
        <v>16.931810521060338</v>
      </c>
      <c r="T36" s="92">
        <f>Tableau14[[#This Row],[KUVC - Bière, panaché]]*U$109</f>
        <v>1035.398485100812</v>
      </c>
      <c r="U36" s="92">
        <f>Tableau14[[#This Row],[KUVC - Champagne / Mousseux]]*V$109</f>
        <v>15.582747200767219</v>
      </c>
      <c r="V36" s="92">
        <f>Tableau14[[#This Row],[KUVC - Jus / Nectar]]*W$109</f>
        <v>54.244222105465333</v>
      </c>
      <c r="W36" s="92">
        <f>Tableau14[[#This Row],[KUVC autres boissons sans alcool]]*X$109</f>
        <v>111.34340326911305</v>
      </c>
      <c r="X36" s="92">
        <f>Tableau14[[#This Row],[KUVC miel ]]*Y$109</f>
        <v>9.3261995900624601</v>
      </c>
      <c r="Y36" s="92">
        <f>Tableau14[[#This Row],[KUVC Ind. Lait]]*Z$109</f>
        <v>897.29408503370553</v>
      </c>
      <c r="Z36" s="92">
        <f>Tableau14[[#This Row],[KUVC fermiers]]*AA$109</f>
        <v>92.106753686642605</v>
      </c>
    </row>
    <row r="37" spans="1:26">
      <c r="A37">
        <v>26</v>
      </c>
      <c r="B37">
        <v>2</v>
      </c>
      <c r="C37">
        <v>50</v>
      </c>
      <c r="D37" t="s">
        <v>52</v>
      </c>
      <c r="E37" t="s">
        <v>53</v>
      </c>
      <c r="F37">
        <v>178002</v>
      </c>
      <c r="G37" s="93">
        <v>754.65250889720585</v>
      </c>
      <c r="H37" s="93">
        <v>684.73589502396908</v>
      </c>
      <c r="I37" s="91">
        <f t="shared" ref="I37:I68" si="21">G37*F37</f>
        <v>134329655.88872042</v>
      </c>
      <c r="J37">
        <f t="shared" ref="J37:J68" si="22">I37/$I$79</f>
        <v>5.9934248451123856E-2</v>
      </c>
      <c r="K37" s="92">
        <f t="shared" si="20"/>
        <v>166.61721069412431</v>
      </c>
      <c r="L37" s="92">
        <f t="shared" si="20"/>
        <v>10188.822236691056</v>
      </c>
      <c r="M37" s="92">
        <f t="shared" si="20"/>
        <v>613.36709864880152</v>
      </c>
      <c r="N37" s="92">
        <f t="shared" si="20"/>
        <v>3416.2521617140601</v>
      </c>
      <c r="O37" s="92">
        <f t="shared" si="20"/>
        <v>7012.3070687814916</v>
      </c>
      <c r="P37" s="92">
        <f t="shared" si="20"/>
        <v>209.76986957893351</v>
      </c>
      <c r="Q37" s="92">
        <f t="shared" si="20"/>
        <v>56510.7718151015</v>
      </c>
      <c r="R37" s="92">
        <f t="shared" ref="R37:R68" si="23">$J37*R$79</f>
        <v>2071.7143699962971</v>
      </c>
      <c r="S37" s="92">
        <f>Tableau14[[#This Row],[KUVC - Cidre]]*T$109</f>
        <v>133.29376855529947</v>
      </c>
      <c r="T37" s="92">
        <f>Tableau14[[#This Row],[KUVC - Bière, panaché]]*U$109</f>
        <v>8151.0577893528452</v>
      </c>
      <c r="U37" s="92">
        <f>Tableau14[[#This Row],[KUVC - Champagne / Mousseux]]*V$109</f>
        <v>122.67341972976031</v>
      </c>
      <c r="V37" s="92">
        <f>Tableau14[[#This Row],[KUVC - Jus / Nectar]]*W$109</f>
        <v>427.03152021425751</v>
      </c>
      <c r="W37" s="92">
        <f>Tableau14[[#This Row],[KUVC autres boissons sans alcool]]*X$109</f>
        <v>876.53838359768645</v>
      </c>
      <c r="X37" s="92">
        <f>Tableau14[[#This Row],[KUVC miel ]]*Y$109</f>
        <v>73.41945435262673</v>
      </c>
      <c r="Y37" s="92">
        <f>Tableau14[[#This Row],[KUVC Ind. Lait]]*Z$109</f>
        <v>7063.8464768876875</v>
      </c>
      <c r="Z37" s="92">
        <f>Tableau14[[#This Row],[KUVC fermiers]]*AA$109</f>
        <v>725.10002949870398</v>
      </c>
    </row>
    <row r="38" spans="1:26">
      <c r="A38">
        <v>24</v>
      </c>
      <c r="B38">
        <v>3</v>
      </c>
      <c r="C38">
        <v>50</v>
      </c>
      <c r="D38" t="s">
        <v>48</v>
      </c>
      <c r="E38" t="s">
        <v>49</v>
      </c>
      <c r="F38">
        <v>47720</v>
      </c>
      <c r="G38" s="93">
        <v>882.68590576823317</v>
      </c>
      <c r="H38" s="93">
        <v>729.89858024093962</v>
      </c>
      <c r="I38" s="91">
        <f t="shared" si="21"/>
        <v>42121771.423260085</v>
      </c>
      <c r="J38">
        <f t="shared" si="22"/>
        <v>1.8793591757388716E-2</v>
      </c>
      <c r="K38" s="92">
        <f t="shared" si="20"/>
        <v>52.246185085540624</v>
      </c>
      <c r="L38" s="92">
        <f t="shared" si="20"/>
        <v>3194.9105987560815</v>
      </c>
      <c r="M38" s="92">
        <f t="shared" si="20"/>
        <v>192.33361804511611</v>
      </c>
      <c r="N38" s="92">
        <f t="shared" si="20"/>
        <v>1071.2347301711568</v>
      </c>
      <c r="O38" s="92">
        <f t="shared" si="20"/>
        <v>2198.8502356144795</v>
      </c>
      <c r="P38" s="92">
        <f t="shared" si="20"/>
        <v>65.77757115086051</v>
      </c>
      <c r="Q38" s="92">
        <f t="shared" si="20"/>
        <v>17720.091647667126</v>
      </c>
      <c r="R38" s="92">
        <f t="shared" si="23"/>
        <v>649.62780236374306</v>
      </c>
      <c r="S38" s="92">
        <f>Tableau14[[#This Row],[KUVC - Cidre]]*T$109</f>
        <v>41.796948068432499</v>
      </c>
      <c r="T38" s="92">
        <f>Tableau14[[#This Row],[KUVC - Bière, panaché]]*U$109</f>
        <v>2555.9284790048655</v>
      </c>
      <c r="U38" s="92">
        <f>Tableau14[[#This Row],[KUVC - Champagne / Mousseux]]*V$109</f>
        <v>38.466723609023227</v>
      </c>
      <c r="V38" s="92">
        <f>Tableau14[[#This Row],[KUVC - Jus / Nectar]]*W$109</f>
        <v>133.9043412713946</v>
      </c>
      <c r="W38" s="92">
        <f>Tableau14[[#This Row],[KUVC autres boissons sans alcool]]*X$109</f>
        <v>274.85627945180994</v>
      </c>
      <c r="X38" s="92">
        <f>Tableau14[[#This Row],[KUVC miel ]]*Y$109</f>
        <v>23.022149902801178</v>
      </c>
      <c r="Y38" s="92">
        <f>Tableau14[[#This Row],[KUVC Ind. Lait]]*Z$109</f>
        <v>2215.0114559583908</v>
      </c>
      <c r="Z38" s="92">
        <f>Tableau14[[#This Row],[KUVC fermiers]]*AA$109</f>
        <v>227.36973082731006</v>
      </c>
    </row>
    <row r="39" spans="1:26">
      <c r="A39">
        <v>25</v>
      </c>
      <c r="B39">
        <v>3</v>
      </c>
      <c r="C39">
        <v>50</v>
      </c>
      <c r="D39" t="s">
        <v>50</v>
      </c>
      <c r="E39" t="s">
        <v>51</v>
      </c>
      <c r="F39">
        <v>21931</v>
      </c>
      <c r="G39" s="93">
        <v>777.44048704506736</v>
      </c>
      <c r="H39" s="93">
        <v>649.23925695745413</v>
      </c>
      <c r="I39" s="91">
        <f t="shared" si="21"/>
        <v>17050047.321385372</v>
      </c>
      <c r="J39">
        <f t="shared" si="22"/>
        <v>7.6072685923491336E-3</v>
      </c>
      <c r="K39" s="92">
        <f t="shared" si="20"/>
        <v>21.148206686730592</v>
      </c>
      <c r="L39" s="92">
        <f t="shared" si="20"/>
        <v>1293.2356606993526</v>
      </c>
      <c r="M39" s="92">
        <f t="shared" si="20"/>
        <v>77.852786774101034</v>
      </c>
      <c r="N39" s="92">
        <f t="shared" si="20"/>
        <v>433.61430976390062</v>
      </c>
      <c r="O39" s="92">
        <f t="shared" si="20"/>
        <v>890.05042530484866</v>
      </c>
      <c r="P39" s="92">
        <f t="shared" si="20"/>
        <v>26.625440073221966</v>
      </c>
      <c r="Q39" s="92">
        <f t="shared" si="20"/>
        <v>7172.737302429111</v>
      </c>
      <c r="R39" s="92">
        <f t="shared" si="23"/>
        <v>262.95629070986837</v>
      </c>
      <c r="S39" s="92">
        <f>Tableau14[[#This Row],[KUVC - Cidre]]*T$109</f>
        <v>16.918565349384476</v>
      </c>
      <c r="T39" s="92">
        <f>Tableau14[[#This Row],[KUVC - Bière, panaché]]*U$109</f>
        <v>1034.588528559482</v>
      </c>
      <c r="U39" s="92">
        <f>Tableau14[[#This Row],[KUVC - Champagne / Mousseux]]*V$109</f>
        <v>15.570557354820208</v>
      </c>
      <c r="V39" s="92">
        <f>Tableau14[[#This Row],[KUVC - Jus / Nectar]]*W$109</f>
        <v>54.201788720487578</v>
      </c>
      <c r="W39" s="92">
        <f>Tableau14[[#This Row],[KUVC autres boissons sans alcool]]*X$109</f>
        <v>111.25630316310608</v>
      </c>
      <c r="X39" s="92">
        <f>Tableau14[[#This Row],[KUVC miel ]]*Y$109</f>
        <v>9.3189040256276883</v>
      </c>
      <c r="Y39" s="92">
        <f>Tableau14[[#This Row],[KUVC Ind. Lait]]*Z$109</f>
        <v>896.59216280363887</v>
      </c>
      <c r="Z39" s="92">
        <f>Tableau14[[#This Row],[KUVC fermiers]]*AA$109</f>
        <v>92.034701748453926</v>
      </c>
    </row>
    <row r="40" spans="1:26">
      <c r="A40">
        <v>10</v>
      </c>
      <c r="B40">
        <v>4</v>
      </c>
      <c r="C40">
        <v>50</v>
      </c>
      <c r="D40" t="s">
        <v>20</v>
      </c>
      <c r="E40" t="s">
        <v>21</v>
      </c>
      <c r="F40">
        <v>15653</v>
      </c>
      <c r="G40" s="93">
        <v>640.10235010139047</v>
      </c>
      <c r="H40" s="93">
        <v>593.35753772649502</v>
      </c>
      <c r="I40" s="91">
        <f t="shared" si="21"/>
        <v>10019522.086137066</v>
      </c>
      <c r="J40">
        <f t="shared" si="22"/>
        <v>4.4704389518389768E-3</v>
      </c>
      <c r="K40" s="92">
        <f t="shared" si="20"/>
        <v>12.427820286112356</v>
      </c>
      <c r="L40" s="92">
        <f t="shared" si="20"/>
        <v>759.97462181262608</v>
      </c>
      <c r="M40" s="92">
        <f t="shared" si="20"/>
        <v>45.750472233120085</v>
      </c>
      <c r="N40" s="92">
        <f t="shared" si="20"/>
        <v>254.81502025482166</v>
      </c>
      <c r="O40" s="92">
        <f t="shared" si="20"/>
        <v>523.04135736516037</v>
      </c>
      <c r="P40" s="92">
        <f t="shared" si="20"/>
        <v>15.646536331436419</v>
      </c>
      <c r="Q40" s="92">
        <f t="shared" si="20"/>
        <v>4215.0850648729001</v>
      </c>
      <c r="R40" s="92">
        <f t="shared" si="23"/>
        <v>154.52721700963158</v>
      </c>
      <c r="S40" s="92">
        <f>Tableau14[[#This Row],[KUVC - Cidre]]*T$109</f>
        <v>9.9422562288898853</v>
      </c>
      <c r="T40" s="92">
        <f>Tableau14[[#This Row],[KUVC - Bière, panaché]]*U$109</f>
        <v>607.97969745010084</v>
      </c>
      <c r="U40" s="92">
        <f>Tableau14[[#This Row],[KUVC - Champagne / Mousseux]]*V$109</f>
        <v>9.1500944466240171</v>
      </c>
      <c r="V40" s="92">
        <f>Tableau14[[#This Row],[KUVC - Jus / Nectar]]*W$109</f>
        <v>31.851877531852708</v>
      </c>
      <c r="W40" s="92">
        <f>Tableau14[[#This Row],[KUVC autres boissons sans alcool]]*X$109</f>
        <v>65.380169670645046</v>
      </c>
      <c r="X40" s="92">
        <f>Tableau14[[#This Row],[KUVC miel ]]*Y$109</f>
        <v>5.4762877160027461</v>
      </c>
      <c r="Y40" s="92">
        <f>Tableau14[[#This Row],[KUVC Ind. Lait]]*Z$109</f>
        <v>526.88563310911252</v>
      </c>
      <c r="Z40" s="92">
        <f>Tableau14[[#This Row],[KUVC fermiers]]*AA$109</f>
        <v>54.084525953371049</v>
      </c>
    </row>
    <row r="41" spans="1:26">
      <c r="A41">
        <v>16</v>
      </c>
      <c r="B41">
        <v>4</v>
      </c>
      <c r="C41">
        <v>50</v>
      </c>
      <c r="D41" t="s">
        <v>32</v>
      </c>
      <c r="E41" t="s">
        <v>33</v>
      </c>
      <c r="F41">
        <v>76494</v>
      </c>
      <c r="G41" s="93">
        <v>683.48737686261632</v>
      </c>
      <c r="H41" s="93">
        <v>645.26101350340957</v>
      </c>
      <c r="I41" s="91">
        <f t="shared" si="21"/>
        <v>52282683.405728973</v>
      </c>
      <c r="J41">
        <f t="shared" si="22"/>
        <v>2.3327115045438978E-2</v>
      </c>
      <c r="K41" s="92">
        <f t="shared" si="20"/>
        <v>64.849379826320359</v>
      </c>
      <c r="L41" s="92">
        <f t="shared" si="20"/>
        <v>3965.609557724626</v>
      </c>
      <c r="M41" s="92">
        <f t="shared" si="20"/>
        <v>238.72969537502252</v>
      </c>
      <c r="N41" s="92">
        <f t="shared" si="20"/>
        <v>1329.6455575900218</v>
      </c>
      <c r="O41" s="92">
        <f t="shared" si="20"/>
        <v>2729.2724603163606</v>
      </c>
      <c r="P41" s="92">
        <f t="shared" si="20"/>
        <v>81.644902659036433</v>
      </c>
      <c r="Q41" s="92">
        <f t="shared" si="20"/>
        <v>21994.657637401378</v>
      </c>
      <c r="R41" s="92">
        <f t="shared" si="23"/>
        <v>806.33562110323828</v>
      </c>
      <c r="S41" s="92">
        <f>Tableau14[[#This Row],[KUVC - Cidre]]*T$109</f>
        <v>51.879503861056293</v>
      </c>
      <c r="T41" s="92">
        <f>Tableau14[[#This Row],[KUVC - Bière, panaché]]*U$109</f>
        <v>3172.4876461797012</v>
      </c>
      <c r="U41" s="92">
        <f>Tableau14[[#This Row],[KUVC - Champagne / Mousseux]]*V$109</f>
        <v>47.745939075004507</v>
      </c>
      <c r="V41" s="92">
        <f>Tableau14[[#This Row],[KUVC - Jus / Nectar]]*W$109</f>
        <v>166.20569469875272</v>
      </c>
      <c r="W41" s="92">
        <f>Tableau14[[#This Row],[KUVC autres boissons sans alcool]]*X$109</f>
        <v>341.15905753954507</v>
      </c>
      <c r="X41" s="92">
        <f>Tableau14[[#This Row],[KUVC miel ]]*Y$109</f>
        <v>28.575715930662749</v>
      </c>
      <c r="Y41" s="92">
        <f>Tableau14[[#This Row],[KUVC Ind. Lait]]*Z$109</f>
        <v>2749.3322046751723</v>
      </c>
      <c r="Z41" s="92">
        <f>Tableau14[[#This Row],[KUVC fermiers]]*AA$109</f>
        <v>282.21746738613336</v>
      </c>
    </row>
    <row r="42" spans="1:26">
      <c r="A42">
        <v>3</v>
      </c>
      <c r="B42">
        <v>1</v>
      </c>
      <c r="C42">
        <v>61</v>
      </c>
      <c r="D42" t="s">
        <v>6</v>
      </c>
      <c r="E42" t="s">
        <v>7</v>
      </c>
      <c r="F42">
        <v>7500</v>
      </c>
      <c r="G42" s="93">
        <v>576.16481208586811</v>
      </c>
      <c r="H42" s="93">
        <v>524.82339318712741</v>
      </c>
      <c r="I42" s="91">
        <f t="shared" si="21"/>
        <v>4321236.0906440103</v>
      </c>
      <c r="J42">
        <f t="shared" si="22"/>
        <v>1.9280183199990504E-3</v>
      </c>
      <c r="K42" s="92">
        <f t="shared" si="20"/>
        <v>5.35989092959736</v>
      </c>
      <c r="L42" s="92">
        <f t="shared" si="20"/>
        <v>327.76311439983857</v>
      </c>
      <c r="M42" s="92">
        <f t="shared" si="20"/>
        <v>19.731339486870279</v>
      </c>
      <c r="N42" s="92">
        <f t="shared" si="20"/>
        <v>109.89704423994587</v>
      </c>
      <c r="O42" s="92">
        <f t="shared" si="20"/>
        <v>225.57814343988889</v>
      </c>
      <c r="P42" s="92">
        <f t="shared" si="20"/>
        <v>6.7480641199966769</v>
      </c>
      <c r="Q42" s="92">
        <f t="shared" si="20"/>
        <v>1817.8888724308117</v>
      </c>
      <c r="R42" s="92">
        <f t="shared" si="23"/>
        <v>66.644754249575513</v>
      </c>
      <c r="S42" s="92">
        <f>Tableau14[[#This Row],[KUVC - Cidre]]*T$109</f>
        <v>4.2879127436778885</v>
      </c>
      <c r="T42" s="92">
        <f>Tableau14[[#This Row],[KUVC - Bière, panaché]]*U$109</f>
        <v>262.21049151987086</v>
      </c>
      <c r="U42" s="92">
        <f>Tableau14[[#This Row],[KUVC - Champagne / Mousseux]]*V$109</f>
        <v>3.9462678973740561</v>
      </c>
      <c r="V42" s="92">
        <f>Tableau14[[#This Row],[KUVC - Jus / Nectar]]*W$109</f>
        <v>13.737130529993234</v>
      </c>
      <c r="W42" s="92">
        <f>Tableau14[[#This Row],[KUVC autres boissons sans alcool]]*X$109</f>
        <v>28.197267929986111</v>
      </c>
      <c r="X42" s="92">
        <f>Tableau14[[#This Row],[KUVC miel ]]*Y$109</f>
        <v>2.3618224419988367</v>
      </c>
      <c r="Y42" s="92">
        <f>Tableau14[[#This Row],[KUVC Ind. Lait]]*Z$109</f>
        <v>227.23610905385146</v>
      </c>
      <c r="Z42" s="92">
        <f>Tableau14[[#This Row],[KUVC fermiers]]*AA$109</f>
        <v>23.32566398735143</v>
      </c>
    </row>
    <row r="43" spans="1:26">
      <c r="A43">
        <v>4</v>
      </c>
      <c r="B43">
        <v>1</v>
      </c>
      <c r="C43">
        <v>61</v>
      </c>
      <c r="D43" t="s">
        <v>8</v>
      </c>
      <c r="E43" t="s">
        <v>9</v>
      </c>
      <c r="F43">
        <v>11919</v>
      </c>
      <c r="G43" s="93">
        <v>576.16481208586811</v>
      </c>
      <c r="H43" s="93">
        <v>524.82339318712741</v>
      </c>
      <c r="I43" s="91">
        <f t="shared" si="21"/>
        <v>6867308.3952514622</v>
      </c>
      <c r="J43">
        <f t="shared" si="22"/>
        <v>3.0640067141424914E-3</v>
      </c>
      <c r="K43" s="92">
        <f t="shared" si="20"/>
        <v>8.5179386653161266</v>
      </c>
      <c r="L43" s="92">
        <f t="shared" si="20"/>
        <v>520.88114140422363</v>
      </c>
      <c r="M43" s="92">
        <f t="shared" si="20"/>
        <v>31.357044712534254</v>
      </c>
      <c r="N43" s="92">
        <f t="shared" si="20"/>
        <v>174.64838270612202</v>
      </c>
      <c r="O43" s="92">
        <f t="shared" si="20"/>
        <v>358.48878555467149</v>
      </c>
      <c r="P43" s="92">
        <f t="shared" si="20"/>
        <v>10.724023499498719</v>
      </c>
      <c r="Q43" s="92">
        <f t="shared" si="20"/>
        <v>2888.9889960670466</v>
      </c>
      <c r="R43" s="92">
        <f t="shared" si="23"/>
        <v>105.91184345342543</v>
      </c>
      <c r="S43" s="92">
        <f>Tableau14[[#This Row],[KUVC - Cidre]]*T$109</f>
        <v>6.8143509322529017</v>
      </c>
      <c r="T43" s="92">
        <f>Tableau14[[#This Row],[KUVC - Bière, panaché]]*U$109</f>
        <v>416.7049131233789</v>
      </c>
      <c r="U43" s="92">
        <f>Tableau14[[#This Row],[KUVC - Champagne / Mousseux]]*V$109</f>
        <v>6.2714089425068513</v>
      </c>
      <c r="V43" s="92">
        <f>Tableau14[[#This Row],[KUVC - Jus / Nectar]]*W$109</f>
        <v>21.831047838265253</v>
      </c>
      <c r="W43" s="92">
        <f>Tableau14[[#This Row],[KUVC autres boissons sans alcool]]*X$109</f>
        <v>44.811098194333937</v>
      </c>
      <c r="X43" s="92">
        <f>Tableau14[[#This Row],[KUVC miel ]]*Y$109</f>
        <v>3.7534082248245513</v>
      </c>
      <c r="Y43" s="92">
        <f>Tableau14[[#This Row],[KUVC Ind. Lait]]*Z$109</f>
        <v>361.12362450838083</v>
      </c>
      <c r="Z43" s="92">
        <f>Tableau14[[#This Row],[KUVC fermiers]]*AA$109</f>
        <v>37.069145208698899</v>
      </c>
    </row>
    <row r="44" spans="1:26">
      <c r="A44">
        <v>28</v>
      </c>
      <c r="B44">
        <v>1</v>
      </c>
      <c r="C44">
        <v>61</v>
      </c>
      <c r="D44" t="s">
        <v>56</v>
      </c>
      <c r="E44" t="s">
        <v>57</v>
      </c>
      <c r="F44">
        <v>13049</v>
      </c>
      <c r="G44" s="93">
        <v>585.45605249507526</v>
      </c>
      <c r="H44" s="93">
        <v>473.94061392458474</v>
      </c>
      <c r="I44" s="91">
        <f t="shared" si="21"/>
        <v>7639616.0290082367</v>
      </c>
      <c r="J44">
        <f t="shared" si="22"/>
        <v>3.4085894296719877E-3</v>
      </c>
      <c r="K44" s="92">
        <f t="shared" si="20"/>
        <v>9.475878614488126</v>
      </c>
      <c r="L44" s="92">
        <f t="shared" si="20"/>
        <v>579.46020304423791</v>
      </c>
      <c r="M44" s="92">
        <f t="shared" si="20"/>
        <v>34.883504223263117</v>
      </c>
      <c r="N44" s="92">
        <f t="shared" si="20"/>
        <v>194.28959749130331</v>
      </c>
      <c r="O44" s="92">
        <f t="shared" si="20"/>
        <v>398.80496327162257</v>
      </c>
      <c r="P44" s="92">
        <f t="shared" si="20"/>
        <v>11.930063003851956</v>
      </c>
      <c r="Q44" s="92">
        <f t="shared" si="20"/>
        <v>3213.8889608108316</v>
      </c>
      <c r="R44" s="92">
        <f t="shared" si="23"/>
        <v>117.82284562436226</v>
      </c>
      <c r="S44" s="92">
        <f>Tableau14[[#This Row],[KUVC - Cidre]]*T$109</f>
        <v>7.5807028915905015</v>
      </c>
      <c r="T44" s="92">
        <f>Tableau14[[#This Row],[KUVC - Bière, panaché]]*U$109</f>
        <v>463.56816243539038</v>
      </c>
      <c r="U44" s="92">
        <f>Tableau14[[#This Row],[KUVC - Champagne / Mousseux]]*V$109</f>
        <v>6.9767008446526235</v>
      </c>
      <c r="V44" s="92">
        <f>Tableau14[[#This Row],[KUVC - Jus / Nectar]]*W$109</f>
        <v>24.286199686412914</v>
      </c>
      <c r="W44" s="92">
        <f>Tableau14[[#This Row],[KUVC autres boissons sans alcool]]*X$109</f>
        <v>49.850620408952821</v>
      </c>
      <c r="X44" s="92">
        <f>Tableau14[[#This Row],[KUVC miel ]]*Y$109</f>
        <v>4.1755220513481843</v>
      </c>
      <c r="Y44" s="92">
        <f>Tableau14[[#This Row],[KUVC Ind. Lait]]*Z$109</f>
        <v>401.73612010135395</v>
      </c>
      <c r="Z44" s="92">
        <f>Tableau14[[#This Row],[KUVC fermiers]]*AA$109</f>
        <v>41.237995968526789</v>
      </c>
    </row>
    <row r="45" spans="1:26">
      <c r="A45">
        <v>50</v>
      </c>
      <c r="B45">
        <v>1</v>
      </c>
      <c r="C45">
        <v>61</v>
      </c>
      <c r="D45" t="s">
        <v>100</v>
      </c>
      <c r="E45" t="s">
        <v>101</v>
      </c>
      <c r="F45">
        <v>4878</v>
      </c>
      <c r="G45" s="93">
        <v>576.16481208586811</v>
      </c>
      <c r="H45" s="93">
        <v>524.82339318712741</v>
      </c>
      <c r="I45" s="91">
        <f t="shared" si="21"/>
        <v>2810531.9533548648</v>
      </c>
      <c r="J45">
        <f t="shared" si="22"/>
        <v>1.2539831153273826E-3</v>
      </c>
      <c r="K45" s="92">
        <f t="shared" ref="K45:Q54" si="24">$J45*K$79*1000</f>
        <v>3.4860730606101233</v>
      </c>
      <c r="L45" s="92">
        <f t="shared" si="24"/>
        <v>213.17712960565504</v>
      </c>
      <c r="M45" s="92">
        <f t="shared" si="24"/>
        <v>12.833263202260433</v>
      </c>
      <c r="N45" s="92">
        <f t="shared" si="24"/>
        <v>71.477037573660809</v>
      </c>
      <c r="O45" s="92">
        <f t="shared" si="24"/>
        <v>146.71602449330376</v>
      </c>
      <c r="P45" s="92">
        <f t="shared" si="24"/>
        <v>4.3889409036458389</v>
      </c>
      <c r="Q45" s="92">
        <f t="shared" si="24"/>
        <v>1182.3549226290002</v>
      </c>
      <c r="R45" s="92">
        <f t="shared" si="23"/>
        <v>43.345748163923922</v>
      </c>
      <c r="S45" s="92">
        <f>Tableau14[[#This Row],[KUVC - Cidre]]*T$109</f>
        <v>2.7888584484880989</v>
      </c>
      <c r="T45" s="92">
        <f>Tableau14[[#This Row],[KUVC - Bière, panaché]]*U$109</f>
        <v>170.54170368452404</v>
      </c>
      <c r="U45" s="92">
        <f>Tableau14[[#This Row],[KUVC - Champagne / Mousseux]]*V$109</f>
        <v>2.5666526404520869</v>
      </c>
      <c r="V45" s="92">
        <f>Tableau14[[#This Row],[KUVC - Jus / Nectar]]*W$109</f>
        <v>8.9346296967076011</v>
      </c>
      <c r="W45" s="92">
        <f>Tableau14[[#This Row],[KUVC autres boissons sans alcool]]*X$109</f>
        <v>18.33950306166297</v>
      </c>
      <c r="X45" s="92">
        <f>Tableau14[[#This Row],[KUVC miel ]]*Y$109</f>
        <v>1.5361293162760434</v>
      </c>
      <c r="Y45" s="92">
        <f>Tableau14[[#This Row],[KUVC Ind. Lait]]*Z$109</f>
        <v>147.79436532862502</v>
      </c>
      <c r="Z45" s="92">
        <f>Tableau14[[#This Row],[KUVC fermiers]]*AA$109</f>
        <v>15.171011857373372</v>
      </c>
    </row>
    <row r="46" spans="1:26">
      <c r="A46">
        <v>64</v>
      </c>
      <c r="B46">
        <v>1</v>
      </c>
      <c r="C46">
        <v>61</v>
      </c>
      <c r="D46" t="s">
        <v>128</v>
      </c>
      <c r="E46" t="s">
        <v>129</v>
      </c>
      <c r="F46">
        <v>48034</v>
      </c>
      <c r="G46" s="93">
        <v>521.22393532684885</v>
      </c>
      <c r="H46" s="93">
        <v>495.11455009783543</v>
      </c>
      <c r="I46" s="91">
        <f t="shared" si="21"/>
        <v>25036470.509489857</v>
      </c>
      <c r="J46">
        <f t="shared" si="22"/>
        <v>1.1170593968453693E-2</v>
      </c>
      <c r="K46" s="92">
        <f t="shared" si="24"/>
        <v>31.054251232301265</v>
      </c>
      <c r="L46" s="92">
        <f t="shared" si="24"/>
        <v>1899.0009746371279</v>
      </c>
      <c r="M46" s="92">
        <f t="shared" si="24"/>
        <v>114.3198586731551</v>
      </c>
      <c r="N46" s="92">
        <f t="shared" si="24"/>
        <v>636.7238562018606</v>
      </c>
      <c r="O46" s="92">
        <f t="shared" si="24"/>
        <v>1306.9594943090822</v>
      </c>
      <c r="P46" s="92">
        <f t="shared" si="24"/>
        <v>39.097078889587927</v>
      </c>
      <c r="Q46" s="92">
        <f t="shared" si="24"/>
        <v>10532.523608854875</v>
      </c>
      <c r="R46" s="92">
        <f t="shared" si="23"/>
        <v>386.12780912255732</v>
      </c>
      <c r="S46" s="92">
        <f>Tableau14[[#This Row],[KUVC - Cidre]]*T$109</f>
        <v>24.843400985841015</v>
      </c>
      <c r="T46" s="92">
        <f>Tableau14[[#This Row],[KUVC - Bière, panaché]]*U$109</f>
        <v>1519.2007797097024</v>
      </c>
      <c r="U46" s="92">
        <f>Tableau14[[#This Row],[KUVC - Champagne / Mousseux]]*V$109</f>
        <v>22.863971734631022</v>
      </c>
      <c r="V46" s="92">
        <f>Tableau14[[#This Row],[KUVC - Jus / Nectar]]*W$109</f>
        <v>79.590482025232575</v>
      </c>
      <c r="W46" s="92">
        <f>Tableau14[[#This Row],[KUVC autres boissons sans alcool]]*X$109</f>
        <v>163.36993678863527</v>
      </c>
      <c r="X46" s="92">
        <f>Tableau14[[#This Row],[KUVC miel ]]*Y$109</f>
        <v>13.683977611355774</v>
      </c>
      <c r="Y46" s="92">
        <f>Tableau14[[#This Row],[KUVC Ind. Lait]]*Z$109</f>
        <v>1316.5654511068594</v>
      </c>
      <c r="Z46" s="92">
        <f>Tableau14[[#This Row],[KUVC fermiers]]*AA$109</f>
        <v>135.14473319289505</v>
      </c>
    </row>
    <row r="47" spans="1:26">
      <c r="A47">
        <v>5</v>
      </c>
      <c r="B47">
        <v>2</v>
      </c>
      <c r="C47">
        <v>61</v>
      </c>
      <c r="D47" t="s">
        <v>10</v>
      </c>
      <c r="E47" t="s">
        <v>11</v>
      </c>
      <c r="F47">
        <v>53227</v>
      </c>
      <c r="G47" s="93">
        <v>604.36055592750154</v>
      </c>
      <c r="H47" s="93">
        <v>569.30534026091107</v>
      </c>
      <c r="I47" s="91">
        <f t="shared" si="21"/>
        <v>32168299.310353123</v>
      </c>
      <c r="J47">
        <f t="shared" si="22"/>
        <v>1.4352622511844845E-2</v>
      </c>
      <c r="K47" s="92">
        <f t="shared" si="24"/>
        <v>39.900290582928669</v>
      </c>
      <c r="L47" s="92">
        <f t="shared" si="24"/>
        <v>2439.9458270136238</v>
      </c>
      <c r="M47" s="92">
        <f t="shared" si="24"/>
        <v>146.88473878622014</v>
      </c>
      <c r="N47" s="92">
        <f t="shared" si="24"/>
        <v>818.09948317515614</v>
      </c>
      <c r="O47" s="92">
        <f t="shared" si="24"/>
        <v>1679.2568338858468</v>
      </c>
      <c r="P47" s="92">
        <f t="shared" si="24"/>
        <v>50.234178791456962</v>
      </c>
      <c r="Q47" s="92">
        <f t="shared" si="24"/>
        <v>13532.792963552112</v>
      </c>
      <c r="R47" s="92">
        <f t="shared" si="23"/>
        <v>496.11924856569624</v>
      </c>
      <c r="S47" s="92">
        <f>Tableau14[[#This Row],[KUVC - Cidre]]*T$109</f>
        <v>31.920232466342938</v>
      </c>
      <c r="T47" s="92">
        <f>Tableau14[[#This Row],[KUVC - Bière, panaché]]*U$109</f>
        <v>1951.9566616108991</v>
      </c>
      <c r="U47" s="92">
        <f>Tableau14[[#This Row],[KUVC - Champagne / Mousseux]]*V$109</f>
        <v>29.376947757244029</v>
      </c>
      <c r="V47" s="92">
        <f>Tableau14[[#This Row],[KUVC - Jus / Nectar]]*W$109</f>
        <v>102.26243539689452</v>
      </c>
      <c r="W47" s="92">
        <f>Tableau14[[#This Row],[KUVC autres boissons sans alcool]]*X$109</f>
        <v>209.90710423573086</v>
      </c>
      <c r="X47" s="92">
        <f>Tableau14[[#This Row],[KUVC miel ]]*Y$109</f>
        <v>17.581962577009936</v>
      </c>
      <c r="Y47" s="92">
        <f>Tableau14[[#This Row],[KUVC Ind. Lait]]*Z$109</f>
        <v>1691.599120444014</v>
      </c>
      <c r="Z47" s="92">
        <f>Tableau14[[#This Row],[KUVC fermiers]]*AA$109</f>
        <v>173.64173699799366</v>
      </c>
    </row>
    <row r="48" spans="1:26">
      <c r="A48">
        <v>29</v>
      </c>
      <c r="B48">
        <v>2</v>
      </c>
      <c r="C48">
        <v>61</v>
      </c>
      <c r="D48" t="s">
        <v>58</v>
      </c>
      <c r="E48" t="s">
        <v>59</v>
      </c>
      <c r="F48">
        <v>33402</v>
      </c>
      <c r="G48" s="93">
        <v>604.51933661855639</v>
      </c>
      <c r="H48" s="93">
        <v>556.96477616942082</v>
      </c>
      <c r="I48" s="91">
        <f t="shared" si="21"/>
        <v>20192154.881733019</v>
      </c>
      <c r="J48">
        <f t="shared" si="22"/>
        <v>9.0091917487520341E-3</v>
      </c>
      <c r="K48" s="92">
        <f t="shared" si="24"/>
        <v>25.045553061530654</v>
      </c>
      <c r="L48" s="92">
        <f t="shared" si="24"/>
        <v>1531.5625972878456</v>
      </c>
      <c r="M48" s="92">
        <f t="shared" si="24"/>
        <v>92.200068356728309</v>
      </c>
      <c r="N48" s="92">
        <f t="shared" si="24"/>
        <v>513.5239296788659</v>
      </c>
      <c r="O48" s="92">
        <f t="shared" si="24"/>
        <v>1054.075434603988</v>
      </c>
      <c r="P48" s="92">
        <f t="shared" si="24"/>
        <v>31.532171120632121</v>
      </c>
      <c r="Q48" s="92">
        <f t="shared" si="24"/>
        <v>8494.5818510997742</v>
      </c>
      <c r="R48" s="92">
        <f t="shared" si="23"/>
        <v>311.41580132038297</v>
      </c>
      <c r="S48" s="92">
        <f>Tableau14[[#This Row],[KUVC - Cidre]]*T$109</f>
        <v>20.036442449224523</v>
      </c>
      <c r="T48" s="92">
        <f>Tableau14[[#This Row],[KUVC - Bière, panaché]]*U$109</f>
        <v>1225.2500778302765</v>
      </c>
      <c r="U48" s="92">
        <f>Tableau14[[#This Row],[KUVC - Champagne / Mousseux]]*V$109</f>
        <v>18.440013671345664</v>
      </c>
      <c r="V48" s="92">
        <f>Tableau14[[#This Row],[KUVC - Jus / Nectar]]*W$109</f>
        <v>64.190491209858237</v>
      </c>
      <c r="W48" s="92">
        <f>Tableau14[[#This Row],[KUVC autres boissons sans alcool]]*X$109</f>
        <v>131.7594293254985</v>
      </c>
      <c r="X48" s="92">
        <f>Tableau14[[#This Row],[KUVC miel ]]*Y$109</f>
        <v>11.036259892221242</v>
      </c>
      <c r="Y48" s="92">
        <f>Tableau14[[#This Row],[KUVC Ind. Lait]]*Z$109</f>
        <v>1061.8227313874718</v>
      </c>
      <c r="Z48" s="92">
        <f>Tableau14[[#This Row],[KUVC fermiers]]*AA$109</f>
        <v>108.99553046213403</v>
      </c>
    </row>
    <row r="49" spans="1:26">
      <c r="A49">
        <v>49</v>
      </c>
      <c r="B49">
        <v>2</v>
      </c>
      <c r="C49">
        <v>61</v>
      </c>
      <c r="D49" t="s">
        <v>98</v>
      </c>
      <c r="E49" t="s">
        <v>99</v>
      </c>
      <c r="F49">
        <v>15836</v>
      </c>
      <c r="G49" s="93">
        <v>749.77797071972952</v>
      </c>
      <c r="H49" s="93">
        <v>688.40824357896872</v>
      </c>
      <c r="I49" s="91">
        <f t="shared" si="21"/>
        <v>11873483.944317637</v>
      </c>
      <c r="J49">
        <f t="shared" si="22"/>
        <v>5.2976264399030469E-3</v>
      </c>
      <c r="K49" s="92">
        <f t="shared" si="24"/>
        <v>14.727401502930469</v>
      </c>
      <c r="L49" s="92">
        <f t="shared" si="24"/>
        <v>900.59649478351798</v>
      </c>
      <c r="M49" s="92">
        <f t="shared" si="24"/>
        <v>54.215908985967779</v>
      </c>
      <c r="N49" s="92">
        <f t="shared" si="24"/>
        <v>301.96470707447367</v>
      </c>
      <c r="O49" s="92">
        <f t="shared" si="24"/>
        <v>619.82229346865643</v>
      </c>
      <c r="P49" s="92">
        <f t="shared" si="24"/>
        <v>18.541692539660666</v>
      </c>
      <c r="Q49" s="92">
        <f t="shared" si="24"/>
        <v>4995.0231569375073</v>
      </c>
      <c r="R49" s="92">
        <f t="shared" si="23"/>
        <v>183.12015426988583</v>
      </c>
      <c r="S49" s="92">
        <f>Tableau14[[#This Row],[KUVC - Cidre]]*T$109</f>
        <v>11.781921202344376</v>
      </c>
      <c r="T49" s="92">
        <f>Tableau14[[#This Row],[KUVC - Bière, panaché]]*U$109</f>
        <v>720.47719582681441</v>
      </c>
      <c r="U49" s="92">
        <f>Tableau14[[#This Row],[KUVC - Champagne / Mousseux]]*V$109</f>
        <v>10.843181797193557</v>
      </c>
      <c r="V49" s="92">
        <f>Tableau14[[#This Row],[KUVC - Jus / Nectar]]*W$109</f>
        <v>37.745588384309208</v>
      </c>
      <c r="W49" s="92">
        <f>Tableau14[[#This Row],[KUVC autres boissons sans alcool]]*X$109</f>
        <v>77.477786683582053</v>
      </c>
      <c r="X49" s="92">
        <f>Tableau14[[#This Row],[KUVC miel ]]*Y$109</f>
        <v>6.489592388881233</v>
      </c>
      <c r="Y49" s="92">
        <f>Tableau14[[#This Row],[KUVC Ind. Lait]]*Z$109</f>
        <v>624.37789461718842</v>
      </c>
      <c r="Z49" s="92">
        <f>Tableau14[[#This Row],[KUVC fermiers]]*AA$109</f>
        <v>64.092053994460031</v>
      </c>
    </row>
    <row r="50" spans="1:26">
      <c r="A50">
        <v>63</v>
      </c>
      <c r="B50">
        <v>2</v>
      </c>
      <c r="C50">
        <v>61</v>
      </c>
      <c r="D50" t="s">
        <v>126</v>
      </c>
      <c r="E50" t="s">
        <v>127</v>
      </c>
      <c r="F50">
        <v>5657</v>
      </c>
      <c r="G50" s="93">
        <v>677.9898661241001</v>
      </c>
      <c r="H50" s="93">
        <v>613.78266830081452</v>
      </c>
      <c r="I50" s="91">
        <f t="shared" si="21"/>
        <v>3835388.6726640342</v>
      </c>
      <c r="J50">
        <f t="shared" si="22"/>
        <v>1.7112463818451165E-3</v>
      </c>
      <c r="K50" s="92">
        <f t="shared" si="24"/>
        <v>4.7572649415294235</v>
      </c>
      <c r="L50" s="92">
        <f t="shared" si="24"/>
        <v>290.91188491366984</v>
      </c>
      <c r="M50" s="92">
        <f t="shared" si="24"/>
        <v>17.512895471802924</v>
      </c>
      <c r="N50" s="92">
        <f t="shared" si="24"/>
        <v>97.541043765171636</v>
      </c>
      <c r="O50" s="92">
        <f t="shared" si="24"/>
        <v>200.21582667587865</v>
      </c>
      <c r="P50" s="92">
        <f t="shared" si="24"/>
        <v>5.9893623364579085</v>
      </c>
      <c r="Q50" s="92">
        <f t="shared" si="24"/>
        <v>1613.4990644410773</v>
      </c>
      <c r="R50" s="92">
        <f t="shared" si="23"/>
        <v>59.151717281710908</v>
      </c>
      <c r="S50" s="92">
        <f>Tableau14[[#This Row],[KUVC - Cidre]]*T$109</f>
        <v>3.805811953223539</v>
      </c>
      <c r="T50" s="92">
        <f>Tableau14[[#This Row],[KUVC - Bière, panaché]]*U$109</f>
        <v>232.72950793093588</v>
      </c>
      <c r="U50" s="92">
        <f>Tableau14[[#This Row],[KUVC - Champagne / Mousseux]]*V$109</f>
        <v>3.502579094360585</v>
      </c>
      <c r="V50" s="92">
        <f>Tableau14[[#This Row],[KUVC - Jus / Nectar]]*W$109</f>
        <v>12.192630470646455</v>
      </c>
      <c r="W50" s="92">
        <f>Tableau14[[#This Row],[KUVC autres boissons sans alcool]]*X$109</f>
        <v>25.026978334484831</v>
      </c>
      <c r="X50" s="92">
        <f>Tableau14[[#This Row],[KUVC miel ]]*Y$109</f>
        <v>2.096276817760268</v>
      </c>
      <c r="Y50" s="92">
        <f>Tableau14[[#This Row],[KUVC Ind. Lait]]*Z$109</f>
        <v>201.68738305513466</v>
      </c>
      <c r="Z50" s="92">
        <f>Tableau14[[#This Row],[KUVC fermiers]]*AA$109</f>
        <v>20.703101048598818</v>
      </c>
    </row>
    <row r="51" spans="1:26">
      <c r="A51">
        <v>6</v>
      </c>
      <c r="B51">
        <v>3</v>
      </c>
      <c r="C51">
        <v>61</v>
      </c>
      <c r="D51" t="s">
        <v>12</v>
      </c>
      <c r="E51" t="s">
        <v>13</v>
      </c>
      <c r="F51">
        <v>13525</v>
      </c>
      <c r="G51" s="93">
        <v>568.88699743451014</v>
      </c>
      <c r="H51" s="93">
        <v>491.01061174874559</v>
      </c>
      <c r="I51" s="91">
        <f t="shared" si="21"/>
        <v>7694196.64030175</v>
      </c>
      <c r="J51">
        <f t="shared" si="22"/>
        <v>3.4329418178042819E-3</v>
      </c>
      <c r="K51" s="92">
        <f t="shared" si="24"/>
        <v>9.5435782534959035</v>
      </c>
      <c r="L51" s="92">
        <f t="shared" si="24"/>
        <v>583.60010902672786</v>
      </c>
      <c r="M51" s="92">
        <f t="shared" si="24"/>
        <v>35.132726563409022</v>
      </c>
      <c r="N51" s="92">
        <f t="shared" si="24"/>
        <v>195.67768361484406</v>
      </c>
      <c r="O51" s="92">
        <f t="shared" si="24"/>
        <v>401.65419268310097</v>
      </c>
      <c r="P51" s="92">
        <f t="shared" si="24"/>
        <v>12.015296362314986</v>
      </c>
      <c r="Q51" s="92">
        <f t="shared" si="24"/>
        <v>3236.8503273827196</v>
      </c>
      <c r="R51" s="92">
        <f t="shared" si="23"/>
        <v>118.6646212992261</v>
      </c>
      <c r="S51" s="92">
        <f>Tableau14[[#This Row],[KUVC - Cidre]]*T$109</f>
        <v>7.6348626027967228</v>
      </c>
      <c r="T51" s="92">
        <f>Tableau14[[#This Row],[KUVC - Bière, panaché]]*U$109</f>
        <v>466.88008722138233</v>
      </c>
      <c r="U51" s="92">
        <f>Tableau14[[#This Row],[KUVC - Champagne / Mousseux]]*V$109</f>
        <v>7.0265453126818045</v>
      </c>
      <c r="V51" s="92">
        <f>Tableau14[[#This Row],[KUVC - Jus / Nectar]]*W$109</f>
        <v>24.459710451855507</v>
      </c>
      <c r="W51" s="92">
        <f>Tableau14[[#This Row],[KUVC autres boissons sans alcool]]*X$109</f>
        <v>50.206774085387622</v>
      </c>
      <c r="X51" s="92">
        <f>Tableau14[[#This Row],[KUVC miel ]]*Y$109</f>
        <v>4.2053537268102446</v>
      </c>
      <c r="Y51" s="92">
        <f>Tableau14[[#This Row],[KUVC Ind. Lait]]*Z$109</f>
        <v>404.60629092283995</v>
      </c>
      <c r="Z51" s="92">
        <f>Tableau14[[#This Row],[KUVC fermiers]]*AA$109</f>
        <v>41.532617454729134</v>
      </c>
    </row>
    <row r="52" spans="1:26">
      <c r="A52">
        <v>27</v>
      </c>
      <c r="B52">
        <v>3</v>
      </c>
      <c r="C52">
        <v>61</v>
      </c>
      <c r="D52" t="s">
        <v>54</v>
      </c>
      <c r="E52" t="s">
        <v>55</v>
      </c>
      <c r="F52">
        <v>11165</v>
      </c>
      <c r="G52" s="93">
        <v>568.88699743451014</v>
      </c>
      <c r="H52" s="93">
        <v>491.01061174874559</v>
      </c>
      <c r="I52" s="91">
        <f t="shared" si="21"/>
        <v>6351623.3263563057</v>
      </c>
      <c r="J52">
        <f t="shared" si="22"/>
        <v>2.8339220255663442E-3</v>
      </c>
      <c r="K52" s="92">
        <f t="shared" si="24"/>
        <v>7.8783032310744368</v>
      </c>
      <c r="L52" s="92">
        <f t="shared" si="24"/>
        <v>481.76674434627853</v>
      </c>
      <c r="M52" s="92">
        <f t="shared" si="24"/>
        <v>29.002358009645967</v>
      </c>
      <c r="N52" s="92">
        <f t="shared" si="24"/>
        <v>161.53355545728164</v>
      </c>
      <c r="O52" s="92">
        <f t="shared" si="24"/>
        <v>331.56887699126224</v>
      </c>
      <c r="P52" s="92">
        <f t="shared" si="24"/>
        <v>9.9187270894822053</v>
      </c>
      <c r="Q52" s="92">
        <f t="shared" si="24"/>
        <v>2672.046869148101</v>
      </c>
      <c r="R52" s="92">
        <f t="shared" si="23"/>
        <v>97.958631926496068</v>
      </c>
      <c r="S52" s="92">
        <f>Tableau14[[#This Row],[KUVC - Cidre]]*T$109</f>
        <v>6.3026425848595498</v>
      </c>
      <c r="T52" s="92">
        <f>Tableau14[[#This Row],[KUVC - Bière, panaché]]*U$109</f>
        <v>385.41339547702285</v>
      </c>
      <c r="U52" s="92">
        <f>Tableau14[[#This Row],[KUVC - Champagne / Mousseux]]*V$109</f>
        <v>5.8004716019291935</v>
      </c>
      <c r="V52" s="92">
        <f>Tableau14[[#This Row],[KUVC - Jus / Nectar]]*W$109</f>
        <v>20.191694432160205</v>
      </c>
      <c r="W52" s="92">
        <f>Tableau14[[#This Row],[KUVC autres boissons sans alcool]]*X$109</f>
        <v>41.44610962390778</v>
      </c>
      <c r="X52" s="92">
        <f>Tableau14[[#This Row],[KUVC miel ]]*Y$109</f>
        <v>3.4715544813187718</v>
      </c>
      <c r="Y52" s="92">
        <f>Tableau14[[#This Row],[KUVC Ind. Lait]]*Z$109</f>
        <v>334.00585864351262</v>
      </c>
      <c r="Z52" s="92">
        <f>Tableau14[[#This Row],[KUVC fermiers]]*AA$109</f>
        <v>34.285521174273619</v>
      </c>
    </row>
    <row r="53" spans="1:26">
      <c r="A53">
        <v>30</v>
      </c>
      <c r="B53">
        <v>3</v>
      </c>
      <c r="C53">
        <v>61</v>
      </c>
      <c r="D53" t="s">
        <v>60</v>
      </c>
      <c r="E53" t="s">
        <v>61</v>
      </c>
      <c r="F53">
        <v>25415</v>
      </c>
      <c r="G53" s="93">
        <v>641.36535457056721</v>
      </c>
      <c r="H53" s="93">
        <v>587.05965353095758</v>
      </c>
      <c r="I53" s="91">
        <f t="shared" si="21"/>
        <v>16300300.486410966</v>
      </c>
      <c r="J53">
        <f t="shared" si="22"/>
        <v>7.2727518932218412E-3</v>
      </c>
      <c r="K53" s="92">
        <f t="shared" si="24"/>
        <v>20.218250263156715</v>
      </c>
      <c r="L53" s="92">
        <f t="shared" si="24"/>
        <v>1236.367821847713</v>
      </c>
      <c r="M53" s="92">
        <f t="shared" si="24"/>
        <v>74.429342875232322</v>
      </c>
      <c r="N53" s="92">
        <f t="shared" si="24"/>
        <v>414.54685791364494</v>
      </c>
      <c r="O53" s="92">
        <f t="shared" si="24"/>
        <v>850.91197150695541</v>
      </c>
      <c r="P53" s="92">
        <f t="shared" si="24"/>
        <v>25.454631626276445</v>
      </c>
      <c r="Q53" s="92">
        <f t="shared" si="24"/>
        <v>6857.3283777949873</v>
      </c>
      <c r="R53" s="92">
        <f t="shared" si="23"/>
        <v>251.39323501974994</v>
      </c>
      <c r="S53" s="92">
        <f>Tableau14[[#This Row],[KUVC - Cidre]]*T$109</f>
        <v>16.174600210525373</v>
      </c>
      <c r="T53" s="92">
        <f>Tableau14[[#This Row],[KUVC - Bière, panaché]]*U$109</f>
        <v>989.09425747817045</v>
      </c>
      <c r="U53" s="92">
        <f>Tableau14[[#This Row],[KUVC - Champagne / Mousseux]]*V$109</f>
        <v>14.885868575046466</v>
      </c>
      <c r="V53" s="92">
        <f>Tableau14[[#This Row],[KUVC - Jus / Nectar]]*W$109</f>
        <v>51.818357239205618</v>
      </c>
      <c r="W53" s="92">
        <f>Tableau14[[#This Row],[KUVC autres boissons sans alcool]]*X$109</f>
        <v>106.36399643836943</v>
      </c>
      <c r="X53" s="92">
        <f>Tableau14[[#This Row],[KUVC miel ]]*Y$109</f>
        <v>8.9091210691967557</v>
      </c>
      <c r="Y53" s="92">
        <f>Tableau14[[#This Row],[KUVC Ind. Lait]]*Z$109</f>
        <v>857.16604722437341</v>
      </c>
      <c r="Z53" s="92">
        <f>Tableau14[[#This Row],[KUVC fermiers]]*AA$109</f>
        <v>87.987632256912477</v>
      </c>
    </row>
    <row r="54" spans="1:26">
      <c r="A54">
        <v>33</v>
      </c>
      <c r="B54">
        <v>3</v>
      </c>
      <c r="C54">
        <v>61</v>
      </c>
      <c r="D54" t="s">
        <v>66</v>
      </c>
      <c r="E54" t="s">
        <v>67</v>
      </c>
      <c r="F54">
        <v>8065</v>
      </c>
      <c r="G54" s="93">
        <v>568.88699743451014</v>
      </c>
      <c r="H54" s="93">
        <v>491.01061174874559</v>
      </c>
      <c r="I54" s="91">
        <f t="shared" si="21"/>
        <v>4588073.6343093244</v>
      </c>
      <c r="J54">
        <f t="shared" si="22"/>
        <v>2.0470739933893924E-3</v>
      </c>
      <c r="K54" s="92">
        <f t="shared" si="24"/>
        <v>5.6908657016225108</v>
      </c>
      <c r="L54" s="92">
        <f t="shared" si="24"/>
        <v>348.00257887619671</v>
      </c>
      <c r="M54" s="92">
        <f t="shared" si="24"/>
        <v>20.949755248347042</v>
      </c>
      <c r="N54" s="92">
        <f t="shared" si="24"/>
        <v>116.68321762319536</v>
      </c>
      <c r="O54" s="92">
        <f t="shared" si="24"/>
        <v>239.50765722655893</v>
      </c>
      <c r="P54" s="92">
        <f t="shared" si="24"/>
        <v>7.1647589768628741</v>
      </c>
      <c r="Q54" s="92">
        <f t="shared" si="24"/>
        <v>1930.1440214670338</v>
      </c>
      <c r="R54" s="92">
        <f t="shared" si="23"/>
        <v>70.760086564011715</v>
      </c>
      <c r="S54" s="92">
        <f>Tableau14[[#This Row],[KUVC - Cidre]]*T$109</f>
        <v>4.5526925612980085</v>
      </c>
      <c r="T54" s="92">
        <f>Tableau14[[#This Row],[KUVC - Bière, panaché]]*U$109</f>
        <v>278.40206310095738</v>
      </c>
      <c r="U54" s="92">
        <f>Tableau14[[#This Row],[KUVC - Champagne / Mousseux]]*V$109</f>
        <v>4.1899510496694088</v>
      </c>
      <c r="V54" s="92">
        <f>Tableau14[[#This Row],[KUVC - Jus / Nectar]]*W$109</f>
        <v>14.58540220289942</v>
      </c>
      <c r="W54" s="92">
        <f>Tableau14[[#This Row],[KUVC autres boissons sans alcool]]*X$109</f>
        <v>29.938457153319867</v>
      </c>
      <c r="X54" s="92">
        <f>Tableau14[[#This Row],[KUVC miel ]]*Y$109</f>
        <v>2.5076656419020056</v>
      </c>
      <c r="Y54" s="92">
        <f>Tableau14[[#This Row],[KUVC Ind. Lait]]*Z$109</f>
        <v>241.26800268337922</v>
      </c>
      <c r="Z54" s="92">
        <f>Tableau14[[#This Row],[KUVC fermiers]]*AA$109</f>
        <v>24.7660302974041</v>
      </c>
    </row>
    <row r="55" spans="1:26">
      <c r="A55">
        <v>35</v>
      </c>
      <c r="B55">
        <v>3</v>
      </c>
      <c r="C55">
        <v>61</v>
      </c>
      <c r="D55" t="s">
        <v>70</v>
      </c>
      <c r="E55" t="s">
        <v>71</v>
      </c>
      <c r="F55">
        <v>14240</v>
      </c>
      <c r="G55" s="93">
        <v>837.91982890066492</v>
      </c>
      <c r="H55" s="93">
        <v>739.6518035693133</v>
      </c>
      <c r="I55" s="91">
        <f t="shared" si="21"/>
        <v>11931978.363545468</v>
      </c>
      <c r="J55">
        <f t="shared" si="22"/>
        <v>5.3237250629644302E-3</v>
      </c>
      <c r="K55" s="92">
        <f t="shared" ref="K55:Q64" si="25">$J55*K$79*1000</f>
        <v>14.799955675041115</v>
      </c>
      <c r="L55" s="92">
        <f t="shared" si="25"/>
        <v>905.03326070395315</v>
      </c>
      <c r="M55" s="92">
        <f t="shared" si="25"/>
        <v>54.483002294377975</v>
      </c>
      <c r="N55" s="92">
        <f t="shared" si="25"/>
        <v>303.45232858897253</v>
      </c>
      <c r="O55" s="92">
        <f t="shared" si="25"/>
        <v>622.87583236683827</v>
      </c>
      <c r="P55" s="92">
        <f t="shared" si="25"/>
        <v>18.633037720375508</v>
      </c>
      <c r="Q55" s="92">
        <f t="shared" si="25"/>
        <v>5019.6310125563678</v>
      </c>
      <c r="R55" s="92">
        <f t="shared" si="23"/>
        <v>184.02229109199811</v>
      </c>
      <c r="S55" s="92">
        <f>Tableau14[[#This Row],[KUVC - Cidre]]*T$109</f>
        <v>11.839964540032893</v>
      </c>
      <c r="T55" s="92">
        <f>Tableau14[[#This Row],[KUVC - Bière, panaché]]*U$109</f>
        <v>724.02660856316254</v>
      </c>
      <c r="U55" s="92">
        <f>Tableau14[[#This Row],[KUVC - Champagne / Mousseux]]*V$109</f>
        <v>10.896600458875596</v>
      </c>
      <c r="V55" s="92">
        <f>Tableau14[[#This Row],[KUVC - Jus / Nectar]]*W$109</f>
        <v>37.931541073621567</v>
      </c>
      <c r="W55" s="92">
        <f>Tableau14[[#This Row],[KUVC autres boissons sans alcool]]*X$109</f>
        <v>77.859479045854783</v>
      </c>
      <c r="X55" s="92">
        <f>Tableau14[[#This Row],[KUVC miel ]]*Y$109</f>
        <v>6.5215632021314276</v>
      </c>
      <c r="Y55" s="92">
        <f>Tableau14[[#This Row],[KUVC Ind. Lait]]*Z$109</f>
        <v>627.45387656954597</v>
      </c>
      <c r="Z55" s="92">
        <f>Tableau14[[#This Row],[KUVC fermiers]]*AA$109</f>
        <v>64.407801882199337</v>
      </c>
    </row>
    <row r="56" spans="1:26">
      <c r="A56">
        <v>48</v>
      </c>
      <c r="B56">
        <v>3</v>
      </c>
      <c r="C56">
        <v>61</v>
      </c>
      <c r="D56" t="s">
        <v>96</v>
      </c>
      <c r="E56" t="s">
        <v>97</v>
      </c>
      <c r="F56">
        <v>12031</v>
      </c>
      <c r="G56" s="93">
        <v>568.88699743451014</v>
      </c>
      <c r="H56" s="93">
        <v>491.01061174874559</v>
      </c>
      <c r="I56" s="91">
        <f t="shared" si="21"/>
        <v>6844279.466134591</v>
      </c>
      <c r="J56">
        <f t="shared" si="22"/>
        <v>3.0537318306841634E-3</v>
      </c>
      <c r="K56" s="92">
        <f t="shared" si="25"/>
        <v>8.4893744893019729</v>
      </c>
      <c r="L56" s="92">
        <f t="shared" si="25"/>
        <v>519.13441121630774</v>
      </c>
      <c r="M56" s="92">
        <f t="shared" si="25"/>
        <v>31.251891555221725</v>
      </c>
      <c r="N56" s="92">
        <f t="shared" si="25"/>
        <v>174.0627143489973</v>
      </c>
      <c r="O56" s="92">
        <f t="shared" si="25"/>
        <v>357.28662419004712</v>
      </c>
      <c r="P56" s="92">
        <f t="shared" si="25"/>
        <v>10.688061407394571</v>
      </c>
      <c r="Q56" s="92">
        <f t="shared" si="25"/>
        <v>2879.3010195002953</v>
      </c>
      <c r="R56" s="92">
        <f t="shared" si="23"/>
        <v>105.55667717937072</v>
      </c>
      <c r="S56" s="92">
        <f>Tableau14[[#This Row],[KUVC - Cidre]]*T$109</f>
        <v>6.7914995914415783</v>
      </c>
      <c r="T56" s="92">
        <f>Tableau14[[#This Row],[KUVC - Bière, panaché]]*U$109</f>
        <v>415.3075289730462</v>
      </c>
      <c r="U56" s="92">
        <f>Tableau14[[#This Row],[KUVC - Champagne / Mousseux]]*V$109</f>
        <v>6.2503783110443454</v>
      </c>
      <c r="V56" s="92">
        <f>Tableau14[[#This Row],[KUVC - Jus / Nectar]]*W$109</f>
        <v>21.757839293624663</v>
      </c>
      <c r="W56" s="92">
        <f>Tableau14[[#This Row],[KUVC autres boissons sans alcool]]*X$109</f>
        <v>44.66082802375589</v>
      </c>
      <c r="X56" s="92">
        <f>Tableau14[[#This Row],[KUVC miel ]]*Y$109</f>
        <v>3.7408214925880996</v>
      </c>
      <c r="Y56" s="92">
        <f>Tableau14[[#This Row],[KUVC Ind. Lait]]*Z$109</f>
        <v>359.91262743753691</v>
      </c>
      <c r="Z56" s="92">
        <f>Tableau14[[#This Row],[KUVC fermiers]]*AA$109</f>
        <v>36.94483701277975</v>
      </c>
    </row>
    <row r="57" spans="1:26">
      <c r="A57">
        <v>53</v>
      </c>
      <c r="B57">
        <v>3</v>
      </c>
      <c r="C57">
        <v>61</v>
      </c>
      <c r="D57" t="s">
        <v>106</v>
      </c>
      <c r="E57" t="s">
        <v>107</v>
      </c>
      <c r="F57">
        <v>532</v>
      </c>
      <c r="G57" s="93">
        <v>568.88699743451014</v>
      </c>
      <c r="H57" s="93">
        <v>491.01061174874559</v>
      </c>
      <c r="I57" s="91">
        <f t="shared" si="21"/>
        <v>302647.88263515942</v>
      </c>
      <c r="J57">
        <f t="shared" si="22"/>
        <v>1.3503327519939949E-4</v>
      </c>
      <c r="K57" s="92">
        <f t="shared" si="25"/>
        <v>0.37539250505433053</v>
      </c>
      <c r="L57" s="92">
        <f t="shared" si="25"/>
        <v>22.955656783897915</v>
      </c>
      <c r="M57" s="92">
        <f t="shared" si="25"/>
        <v>1.3819305383906544</v>
      </c>
      <c r="N57" s="92">
        <f t="shared" si="25"/>
        <v>7.6968966863657702</v>
      </c>
      <c r="O57" s="92">
        <f t="shared" si="25"/>
        <v>15.79889319832974</v>
      </c>
      <c r="P57" s="92">
        <f t="shared" si="25"/>
        <v>0.47261646319789818</v>
      </c>
      <c r="Q57" s="92">
        <f t="shared" si="25"/>
        <v>127.32010160204119</v>
      </c>
      <c r="R57" s="92">
        <f t="shared" si="23"/>
        <v>4.6676213331747345</v>
      </c>
      <c r="S57" s="92">
        <f>Tableau14[[#This Row],[KUVC - Cidre]]*T$109</f>
        <v>0.30031400404346442</v>
      </c>
      <c r="T57" s="92">
        <f>Tableau14[[#This Row],[KUVC - Bière, panaché]]*U$109</f>
        <v>18.364525427118334</v>
      </c>
      <c r="U57" s="92">
        <f>Tableau14[[#This Row],[KUVC - Champagne / Mousseux]]*V$109</f>
        <v>0.27638610767813088</v>
      </c>
      <c r="V57" s="92">
        <f>Tableau14[[#This Row],[KUVC - Jus / Nectar]]*W$109</f>
        <v>0.96211208579572127</v>
      </c>
      <c r="W57" s="92">
        <f>Tableau14[[#This Row],[KUVC autres boissons sans alcool]]*X$109</f>
        <v>1.9748616497912175</v>
      </c>
      <c r="X57" s="92">
        <f>Tableau14[[#This Row],[KUVC miel ]]*Y$109</f>
        <v>0.16541576211926434</v>
      </c>
      <c r="Y57" s="92">
        <f>Tableau14[[#This Row],[KUVC Ind. Lait]]*Z$109</f>
        <v>15.915012700255149</v>
      </c>
      <c r="Z57" s="92">
        <f>Tableau14[[#This Row],[KUVC fermiers]]*AA$109</f>
        <v>1.633667466611157</v>
      </c>
    </row>
    <row r="58" spans="1:26">
      <c r="A58">
        <v>31</v>
      </c>
      <c r="B58">
        <v>1</v>
      </c>
      <c r="C58">
        <v>76</v>
      </c>
      <c r="D58" t="s">
        <v>62</v>
      </c>
      <c r="E58" t="s">
        <v>63</v>
      </c>
      <c r="F58">
        <v>37835</v>
      </c>
      <c r="G58" s="93">
        <v>678.32904320714931</v>
      </c>
      <c r="H58" s="93">
        <v>643.76882222456732</v>
      </c>
      <c r="I58" s="91">
        <f t="shared" si="21"/>
        <v>25664579.349742495</v>
      </c>
      <c r="J58">
        <f t="shared" si="22"/>
        <v>1.1450839094051533E-2</v>
      </c>
      <c r="K58" s="92">
        <f t="shared" si="25"/>
        <v>31.833332681463261</v>
      </c>
      <c r="L58" s="92">
        <f t="shared" si="25"/>
        <v>1946.6426459887607</v>
      </c>
      <c r="M58" s="92">
        <f t="shared" si="25"/>
        <v>117.18788728852338</v>
      </c>
      <c r="N58" s="92">
        <f t="shared" si="25"/>
        <v>652.69782836093736</v>
      </c>
      <c r="O58" s="92">
        <f t="shared" si="25"/>
        <v>1339.7481740040294</v>
      </c>
      <c r="P58" s="92">
        <f t="shared" si="25"/>
        <v>40.077936829180366</v>
      </c>
      <c r="Q58" s="92">
        <f t="shared" si="25"/>
        <v>10796.760981546198</v>
      </c>
      <c r="R58" s="92">
        <f t="shared" si="23"/>
        <v>395.81488902806291</v>
      </c>
      <c r="S58" s="92">
        <f>Tableau14[[#This Row],[KUVC - Cidre]]*T$109</f>
        <v>25.46666614517061</v>
      </c>
      <c r="T58" s="92">
        <f>Tableau14[[#This Row],[KUVC - Bière, panaché]]*U$109</f>
        <v>1557.3141167910087</v>
      </c>
      <c r="U58" s="92">
        <f>Tableau14[[#This Row],[KUVC - Champagne / Mousseux]]*V$109</f>
        <v>23.437577457704677</v>
      </c>
      <c r="V58" s="92">
        <f>Tableau14[[#This Row],[KUVC - Jus / Nectar]]*W$109</f>
        <v>81.587228545117171</v>
      </c>
      <c r="W58" s="92">
        <f>Tableau14[[#This Row],[KUVC autres boissons sans alcool]]*X$109</f>
        <v>167.46852175050367</v>
      </c>
      <c r="X58" s="92">
        <f>Tableau14[[#This Row],[KUVC miel ]]*Y$109</f>
        <v>14.027277890213128</v>
      </c>
      <c r="Y58" s="92">
        <f>Tableau14[[#This Row],[KUVC Ind. Lait]]*Z$109</f>
        <v>1349.5951226932748</v>
      </c>
      <c r="Z58" s="92">
        <f>Tableau14[[#This Row],[KUVC fermiers]]*AA$109</f>
        <v>138.53521115982201</v>
      </c>
    </row>
    <row r="59" spans="1:26">
      <c r="A59">
        <v>39</v>
      </c>
      <c r="B59">
        <v>1</v>
      </c>
      <c r="C59">
        <v>76</v>
      </c>
      <c r="D59" t="s">
        <v>78</v>
      </c>
      <c r="E59" t="s">
        <v>79</v>
      </c>
      <c r="F59">
        <v>16969</v>
      </c>
      <c r="G59" s="93">
        <v>636.85712787952514</v>
      </c>
      <c r="H59" s="93">
        <v>607.95959677155372</v>
      </c>
      <c r="I59" s="91">
        <f t="shared" si="21"/>
        <v>10806828.602987662</v>
      </c>
      <c r="J59">
        <f t="shared" si="22"/>
        <v>4.8217137621251148E-3</v>
      </c>
      <c r="K59" s="92">
        <f t="shared" si="25"/>
        <v>13.404364258707817</v>
      </c>
      <c r="L59" s="92">
        <f t="shared" si="25"/>
        <v>819.6913395612695</v>
      </c>
      <c r="M59" s="92">
        <f t="shared" si="25"/>
        <v>49.345418641588424</v>
      </c>
      <c r="N59" s="92">
        <f t="shared" si="25"/>
        <v>274.83768444113156</v>
      </c>
      <c r="O59" s="92">
        <f t="shared" si="25"/>
        <v>564.14051016863846</v>
      </c>
      <c r="P59" s="92">
        <f t="shared" si="25"/>
        <v>16.875998167437899</v>
      </c>
      <c r="Q59" s="92">
        <f t="shared" si="25"/>
        <v>4546.2948683070972</v>
      </c>
      <c r="R59" s="92">
        <f t="shared" si="23"/>
        <v>166.66954115808545</v>
      </c>
      <c r="S59" s="92">
        <f>Tableau14[[#This Row],[KUVC - Cidre]]*T$109</f>
        <v>10.723491406966254</v>
      </c>
      <c r="T59" s="92">
        <f>Tableau14[[#This Row],[KUVC - Bière, panaché]]*U$109</f>
        <v>655.75307164901562</v>
      </c>
      <c r="U59" s="92">
        <f>Tableau14[[#This Row],[KUVC - Champagne / Mousseux]]*V$109</f>
        <v>9.8690837283176851</v>
      </c>
      <c r="V59" s="92">
        <f>Tableau14[[#This Row],[KUVC - Jus / Nectar]]*W$109</f>
        <v>34.354710555141445</v>
      </c>
      <c r="W59" s="92">
        <f>Tableau14[[#This Row],[KUVC autres boissons sans alcool]]*X$109</f>
        <v>70.517563771079807</v>
      </c>
      <c r="X59" s="92">
        <f>Tableau14[[#This Row],[KUVC miel ]]*Y$109</f>
        <v>5.9065993586032643</v>
      </c>
      <c r="Y59" s="92">
        <f>Tableau14[[#This Row],[KUVC Ind. Lait]]*Z$109</f>
        <v>568.28685853838715</v>
      </c>
      <c r="Z59" s="92">
        <f>Tableau14[[#This Row],[KUVC fermiers]]*AA$109</f>
        <v>58.334339405329906</v>
      </c>
    </row>
    <row r="60" spans="1:26">
      <c r="A60">
        <v>40</v>
      </c>
      <c r="B60">
        <v>1</v>
      </c>
      <c r="C60">
        <v>76</v>
      </c>
      <c r="D60" t="s">
        <v>80</v>
      </c>
      <c r="E60" t="s">
        <v>81</v>
      </c>
      <c r="F60">
        <v>29076</v>
      </c>
      <c r="G60" s="93">
        <v>741.60194352893075</v>
      </c>
      <c r="H60" s="93">
        <v>691.31972855661218</v>
      </c>
      <c r="I60" s="91">
        <f t="shared" si="21"/>
        <v>21562818.110047191</v>
      </c>
      <c r="J60">
        <f t="shared" si="22"/>
        <v>9.6207444987766039E-3</v>
      </c>
      <c r="K60" s="92">
        <f t="shared" si="25"/>
        <v>26.745669706598957</v>
      </c>
      <c r="L60" s="92">
        <f t="shared" si="25"/>
        <v>1635.5265647920228</v>
      </c>
      <c r="M60" s="92">
        <f t="shared" si="25"/>
        <v>98.458699200479771</v>
      </c>
      <c r="N60" s="92">
        <f t="shared" si="25"/>
        <v>548.38243643026635</v>
      </c>
      <c r="O60" s="92">
        <f t="shared" si="25"/>
        <v>1125.6271063568627</v>
      </c>
      <c r="P60" s="92">
        <f t="shared" si="25"/>
        <v>33.672605745718116</v>
      </c>
      <c r="Q60" s="92">
        <f t="shared" si="25"/>
        <v>9071.202377804455</v>
      </c>
      <c r="R60" s="92">
        <f t="shared" si="23"/>
        <v>332.55501058684865</v>
      </c>
      <c r="S60" s="92">
        <f>Tableau14[[#This Row],[KUVC - Cidre]]*T$109</f>
        <v>21.396535765279168</v>
      </c>
      <c r="T60" s="92">
        <f>Tableau14[[#This Row],[KUVC - Bière, panaché]]*U$109</f>
        <v>1308.4212518336183</v>
      </c>
      <c r="U60" s="92">
        <f>Tableau14[[#This Row],[KUVC - Champagne / Mousseux]]*V$109</f>
        <v>19.691739840095956</v>
      </c>
      <c r="V60" s="92">
        <f>Tableau14[[#This Row],[KUVC - Jus / Nectar]]*W$109</f>
        <v>68.547804553783294</v>
      </c>
      <c r="W60" s="92">
        <f>Tableau14[[#This Row],[KUVC autres boissons sans alcool]]*X$109</f>
        <v>140.70338829460783</v>
      </c>
      <c r="X60" s="92">
        <f>Tableau14[[#This Row],[KUVC miel ]]*Y$109</f>
        <v>11.785412011001339</v>
      </c>
      <c r="Y60" s="92">
        <f>Tableau14[[#This Row],[KUVC Ind. Lait]]*Z$109</f>
        <v>1133.9002972255569</v>
      </c>
      <c r="Z60" s="92">
        <f>Tableau14[[#This Row],[KUVC fermiers]]*AA$109</f>
        <v>116.39425370539702</v>
      </c>
    </row>
    <row r="61" spans="1:26">
      <c r="A61">
        <v>42</v>
      </c>
      <c r="B61">
        <v>1</v>
      </c>
      <c r="C61">
        <v>76</v>
      </c>
      <c r="D61" t="s">
        <v>84</v>
      </c>
      <c r="E61" t="s">
        <v>85</v>
      </c>
      <c r="F61">
        <v>27698</v>
      </c>
      <c r="G61" s="93">
        <v>826.3904606909017</v>
      </c>
      <c r="H61" s="93">
        <v>712.03753716356289</v>
      </c>
      <c r="I61" s="91">
        <f t="shared" si="21"/>
        <v>22889362.980216596</v>
      </c>
      <c r="J61">
        <f t="shared" si="22"/>
        <v>1.0212612834210738E-2</v>
      </c>
      <c r="K61" s="92">
        <f t="shared" si="25"/>
        <v>28.391063679105848</v>
      </c>
      <c r="L61" s="92">
        <f t="shared" si="25"/>
        <v>1736.1441818158255</v>
      </c>
      <c r="M61" s="92">
        <f t="shared" si="25"/>
        <v>104.51587974531269</v>
      </c>
      <c r="N61" s="92">
        <f t="shared" si="25"/>
        <v>582.11893155001201</v>
      </c>
      <c r="O61" s="92">
        <f t="shared" si="25"/>
        <v>1194.8757016026564</v>
      </c>
      <c r="P61" s="92">
        <f t="shared" si="25"/>
        <v>35.744144919737586</v>
      </c>
      <c r="Q61" s="92">
        <f t="shared" si="25"/>
        <v>9629.2628743096902</v>
      </c>
      <c r="R61" s="92">
        <f t="shared" si="23"/>
        <v>353.01379946554181</v>
      </c>
      <c r="S61" s="92">
        <f>Tableau14[[#This Row],[KUVC - Cidre]]*T$109</f>
        <v>22.712850943284678</v>
      </c>
      <c r="T61" s="92">
        <f>Tableau14[[#This Row],[KUVC - Bière, panaché]]*U$109</f>
        <v>1388.9153454526604</v>
      </c>
      <c r="U61" s="92">
        <f>Tableau14[[#This Row],[KUVC - Champagne / Mousseux]]*V$109</f>
        <v>20.90317594906254</v>
      </c>
      <c r="V61" s="92">
        <f>Tableau14[[#This Row],[KUVC - Jus / Nectar]]*W$109</f>
        <v>72.764866443751501</v>
      </c>
      <c r="W61" s="92">
        <f>Tableau14[[#This Row],[KUVC autres boissons sans alcool]]*X$109</f>
        <v>149.35946270033205</v>
      </c>
      <c r="X61" s="92">
        <f>Tableau14[[#This Row],[KUVC miel ]]*Y$109</f>
        <v>12.510450721908155</v>
      </c>
      <c r="Y61" s="92">
        <f>Tableau14[[#This Row],[KUVC Ind. Lait]]*Z$109</f>
        <v>1203.6578592887113</v>
      </c>
      <c r="Z61" s="92">
        <f>Tableau14[[#This Row],[KUVC fermiers]]*AA$109</f>
        <v>123.55482981293963</v>
      </c>
    </row>
    <row r="62" spans="1:26">
      <c r="A62">
        <v>44</v>
      </c>
      <c r="B62">
        <v>1</v>
      </c>
      <c r="C62">
        <v>76</v>
      </c>
      <c r="D62" t="s">
        <v>88</v>
      </c>
      <c r="E62" t="s">
        <v>89</v>
      </c>
      <c r="F62">
        <v>24973</v>
      </c>
      <c r="G62" s="93">
        <v>608.92645240207366</v>
      </c>
      <c r="H62" s="93">
        <v>576.99772456076641</v>
      </c>
      <c r="I62" s="91">
        <f t="shared" si="21"/>
        <v>15206720.295836985</v>
      </c>
      <c r="J62">
        <f t="shared" si="22"/>
        <v>6.7848260781108094E-3</v>
      </c>
      <c r="K62" s="92">
        <f t="shared" si="25"/>
        <v>18.861816497148048</v>
      </c>
      <c r="L62" s="92">
        <f t="shared" si="25"/>
        <v>1153.4204332788377</v>
      </c>
      <c r="M62" s="92">
        <f t="shared" si="25"/>
        <v>69.43591008338602</v>
      </c>
      <c r="N62" s="92">
        <f t="shared" si="25"/>
        <v>386.73508645231612</v>
      </c>
      <c r="O62" s="92">
        <f t="shared" si="25"/>
        <v>793.82465113896467</v>
      </c>
      <c r="P62" s="92">
        <f t="shared" si="25"/>
        <v>23.746891273387831</v>
      </c>
      <c r="Q62" s="92">
        <f t="shared" si="25"/>
        <v>6397.2731487230376</v>
      </c>
      <c r="R62" s="92">
        <f t="shared" si="23"/>
        <v>234.52737036338371</v>
      </c>
      <c r="S62" s="92">
        <f>Tableau14[[#This Row],[KUVC - Cidre]]*T$109</f>
        <v>15.08945319771844</v>
      </c>
      <c r="T62" s="92">
        <f>Tableau14[[#This Row],[KUVC - Bière, panaché]]*U$109</f>
        <v>922.73634662307018</v>
      </c>
      <c r="U62" s="92">
        <f>Tableau14[[#This Row],[KUVC - Champagne / Mousseux]]*V$109</f>
        <v>13.887182016677205</v>
      </c>
      <c r="V62" s="92">
        <f>Tableau14[[#This Row],[KUVC - Jus / Nectar]]*W$109</f>
        <v>48.341885806539516</v>
      </c>
      <c r="W62" s="92">
        <f>Tableau14[[#This Row],[KUVC autres boissons sans alcool]]*X$109</f>
        <v>99.228081392370584</v>
      </c>
      <c r="X62" s="92">
        <f>Tableau14[[#This Row],[KUVC miel ]]*Y$109</f>
        <v>8.3114119456857409</v>
      </c>
      <c r="Y62" s="92">
        <f>Tableau14[[#This Row],[KUVC Ind. Lait]]*Z$109</f>
        <v>799.6591435903797</v>
      </c>
      <c r="Z62" s="92">
        <f>Tableau14[[#This Row],[KUVC fermiers]]*AA$109</f>
        <v>82.084579627184297</v>
      </c>
    </row>
    <row r="63" spans="1:26">
      <c r="A63">
        <v>66</v>
      </c>
      <c r="B63">
        <v>1</v>
      </c>
      <c r="C63">
        <v>76</v>
      </c>
      <c r="D63" t="s">
        <v>132</v>
      </c>
      <c r="E63" t="s">
        <v>133</v>
      </c>
      <c r="F63">
        <v>22088</v>
      </c>
      <c r="G63" s="93">
        <v>925.00871577733199</v>
      </c>
      <c r="H63" s="93">
        <v>790.80731590259722</v>
      </c>
      <c r="I63" s="91">
        <f t="shared" si="21"/>
        <v>20431592.514089707</v>
      </c>
      <c r="J63">
        <f t="shared" si="22"/>
        <v>9.1160223250032132E-3</v>
      </c>
      <c r="K63" s="92">
        <f t="shared" si="25"/>
        <v>25.34254206350893</v>
      </c>
      <c r="L63" s="92">
        <f t="shared" si="25"/>
        <v>1549.7237952505463</v>
      </c>
      <c r="M63" s="92">
        <f t="shared" si="25"/>
        <v>93.293372474082886</v>
      </c>
      <c r="N63" s="92">
        <f t="shared" si="25"/>
        <v>519.61327252518322</v>
      </c>
      <c r="O63" s="92">
        <f t="shared" si="25"/>
        <v>1066.5746120253759</v>
      </c>
      <c r="P63" s="92">
        <f t="shared" si="25"/>
        <v>31.906078137511244</v>
      </c>
      <c r="Q63" s="92">
        <f t="shared" si="25"/>
        <v>8595.3102071469748</v>
      </c>
      <c r="R63" s="92">
        <f t="shared" si="23"/>
        <v>315.10855539162225</v>
      </c>
      <c r="S63" s="92">
        <f>Tableau14[[#This Row],[KUVC - Cidre]]*T$109</f>
        <v>20.274033650807144</v>
      </c>
      <c r="T63" s="92">
        <f>Tableau14[[#This Row],[KUVC - Bière, panaché]]*U$109</f>
        <v>1239.7790362004371</v>
      </c>
      <c r="U63" s="92">
        <f>Tableau14[[#This Row],[KUVC - Champagne / Mousseux]]*V$109</f>
        <v>18.658674494816577</v>
      </c>
      <c r="V63" s="92">
        <f>Tableau14[[#This Row],[KUVC - Jus / Nectar]]*W$109</f>
        <v>64.951659065647902</v>
      </c>
      <c r="W63" s="92">
        <f>Tableau14[[#This Row],[KUVC autres boissons sans alcool]]*X$109</f>
        <v>133.32182650317199</v>
      </c>
      <c r="X63" s="92">
        <f>Tableau14[[#This Row],[KUVC miel ]]*Y$109</f>
        <v>11.167127348128934</v>
      </c>
      <c r="Y63" s="92">
        <f>Tableau14[[#This Row],[KUVC Ind. Lait]]*Z$109</f>
        <v>1074.4137758933718</v>
      </c>
      <c r="Z63" s="92">
        <f>Tableau14[[#This Row],[KUVC fermiers]]*AA$109</f>
        <v>110.28799438706778</v>
      </c>
    </row>
    <row r="64" spans="1:26">
      <c r="A64">
        <v>67</v>
      </c>
      <c r="B64">
        <v>1</v>
      </c>
      <c r="C64">
        <v>76</v>
      </c>
      <c r="D64" t="s">
        <v>134</v>
      </c>
      <c r="E64" t="s">
        <v>135</v>
      </c>
      <c r="F64">
        <v>5195</v>
      </c>
      <c r="G64" s="93">
        <v>516.52433218430951</v>
      </c>
      <c r="H64" s="93">
        <v>479.43589502221369</v>
      </c>
      <c r="I64" s="91">
        <f t="shared" si="21"/>
        <v>2683343.9056974878</v>
      </c>
      <c r="J64">
        <f t="shared" si="22"/>
        <v>1.1972352587362402E-3</v>
      </c>
      <c r="K64" s="92">
        <f t="shared" si="25"/>
        <v>3.3283140192867471</v>
      </c>
      <c r="L64" s="92">
        <f t="shared" si="25"/>
        <v>203.52999398516084</v>
      </c>
      <c r="M64" s="92">
        <f t="shared" si="25"/>
        <v>12.252505637906683</v>
      </c>
      <c r="N64" s="92">
        <f t="shared" si="25"/>
        <v>68.242409747965695</v>
      </c>
      <c r="O64" s="92">
        <f t="shared" si="25"/>
        <v>140.07652527214009</v>
      </c>
      <c r="P64" s="92">
        <f t="shared" si="25"/>
        <v>4.1903234055768408</v>
      </c>
      <c r="Q64" s="92">
        <f t="shared" si="25"/>
        <v>1128.8485342501863</v>
      </c>
      <c r="R64" s="92">
        <f t="shared" si="23"/>
        <v>41.384176057747723</v>
      </c>
      <c r="S64" s="92">
        <f>Tableau14[[#This Row],[KUVC - Cidre]]*T$109</f>
        <v>2.6626512154293978</v>
      </c>
      <c r="T64" s="92">
        <f>Tableau14[[#This Row],[KUVC - Bière, panaché]]*U$109</f>
        <v>162.82399518812869</v>
      </c>
      <c r="U64" s="92">
        <f>Tableau14[[#This Row],[KUVC - Champagne / Mousseux]]*V$109</f>
        <v>2.4505011275813366</v>
      </c>
      <c r="V64" s="92">
        <f>Tableau14[[#This Row],[KUVC - Jus / Nectar]]*W$109</f>
        <v>8.5303012184957119</v>
      </c>
      <c r="W64" s="92">
        <f>Tableau14[[#This Row],[KUVC autres boissons sans alcool]]*X$109</f>
        <v>17.509565659017511</v>
      </c>
      <c r="X64" s="92">
        <f>Tableau14[[#This Row],[KUVC miel ]]*Y$109</f>
        <v>1.4666131919518941</v>
      </c>
      <c r="Y64" s="92">
        <f>Tableau14[[#This Row],[KUVC Ind. Lait]]*Z$109</f>
        <v>141.10606678127328</v>
      </c>
      <c r="Z64" s="92">
        <f>Tableau14[[#This Row],[KUVC fermiers]]*AA$109</f>
        <v>14.484461620211702</v>
      </c>
    </row>
    <row r="65" spans="1:26">
      <c r="A65">
        <v>70</v>
      </c>
      <c r="B65">
        <v>1</v>
      </c>
      <c r="C65">
        <v>76</v>
      </c>
      <c r="D65" t="s">
        <v>140</v>
      </c>
      <c r="E65" t="s">
        <v>141</v>
      </c>
      <c r="F65">
        <v>23604</v>
      </c>
      <c r="G65" s="93">
        <v>704.86380253871289</v>
      </c>
      <c r="H65" s="93">
        <v>669.39360313559735</v>
      </c>
      <c r="I65" s="91">
        <f t="shared" si="21"/>
        <v>16637605.195123779</v>
      </c>
      <c r="J65">
        <f t="shared" si="22"/>
        <v>7.4232481040695398E-3</v>
      </c>
      <c r="K65" s="92">
        <f t="shared" ref="K65:Q75" si="26">$J65*K$79*1000</f>
        <v>20.636629729313317</v>
      </c>
      <c r="L65" s="92">
        <f t="shared" si="26"/>
        <v>1261.9521776918216</v>
      </c>
      <c r="M65" s="92">
        <f t="shared" si="26"/>
        <v>75.969521097047675</v>
      </c>
      <c r="N65" s="92">
        <f t="shared" si="26"/>
        <v>423.12514193196375</v>
      </c>
      <c r="O65" s="92">
        <f t="shared" si="26"/>
        <v>868.52002817613618</v>
      </c>
      <c r="P65" s="92">
        <f t="shared" si="26"/>
        <v>25.981368364243391</v>
      </c>
      <c r="Q65" s="92">
        <f t="shared" si="26"/>
        <v>6999.2281638111117</v>
      </c>
      <c r="R65" s="92">
        <f t="shared" si="23"/>
        <v>256.59535518811123</v>
      </c>
      <c r="S65" s="92">
        <f>Tableau14[[#This Row],[KUVC - Cidre]]*T$109</f>
        <v>16.509303783450655</v>
      </c>
      <c r="T65" s="92">
        <f>Tableau14[[#This Row],[KUVC - Bière, panaché]]*U$109</f>
        <v>1009.5617421534573</v>
      </c>
      <c r="U65" s="92">
        <f>Tableau14[[#This Row],[KUVC - Champagne / Mousseux]]*V$109</f>
        <v>15.193904219409536</v>
      </c>
      <c r="V65" s="92">
        <f>Tableau14[[#This Row],[KUVC - Jus / Nectar]]*W$109</f>
        <v>52.890642741495469</v>
      </c>
      <c r="W65" s="92">
        <f>Tableau14[[#This Row],[KUVC autres boissons sans alcool]]*X$109</f>
        <v>108.56500352201702</v>
      </c>
      <c r="X65" s="92">
        <f>Tableau14[[#This Row],[KUVC miel ]]*Y$109</f>
        <v>9.0934789274851866</v>
      </c>
      <c r="Y65" s="92">
        <f>Tableau14[[#This Row],[KUVC Ind. Lait]]*Z$109</f>
        <v>874.90352047638896</v>
      </c>
      <c r="Z65" s="92">
        <f>Tableau14[[#This Row],[KUVC fermiers]]*AA$109</f>
        <v>89.808374315838918</v>
      </c>
    </row>
    <row r="66" spans="1:26">
      <c r="A66">
        <v>71</v>
      </c>
      <c r="B66">
        <v>1</v>
      </c>
      <c r="C66">
        <v>76</v>
      </c>
      <c r="D66" t="s">
        <v>142</v>
      </c>
      <c r="E66" t="s">
        <v>143</v>
      </c>
      <c r="F66">
        <v>45775</v>
      </c>
      <c r="G66" s="93">
        <v>667.21498564902311</v>
      </c>
      <c r="H66" s="93">
        <v>613.07436509723425</v>
      </c>
      <c r="I66" s="91">
        <f t="shared" si="21"/>
        <v>30541765.968084034</v>
      </c>
      <c r="J66">
        <f t="shared" si="22"/>
        <v>1.3626907458049503E-2</v>
      </c>
      <c r="K66" s="92">
        <f t="shared" si="26"/>
        <v>37.882802733377616</v>
      </c>
      <c r="L66" s="92">
        <f t="shared" si="26"/>
        <v>2316.5742678684155</v>
      </c>
      <c r="M66" s="92">
        <f t="shared" si="26"/>
        <v>139.45777092567863</v>
      </c>
      <c r="N66" s="92">
        <f t="shared" si="26"/>
        <v>776.73372510882166</v>
      </c>
      <c r="O66" s="92">
        <f t="shared" si="26"/>
        <v>1594.3481725917918</v>
      </c>
      <c r="P66" s="92">
        <f t="shared" si="26"/>
        <v>47.694176103173263</v>
      </c>
      <c r="Q66" s="92">
        <f t="shared" si="26"/>
        <v>12848.531145515688</v>
      </c>
      <c r="R66" s="92">
        <f t="shared" si="23"/>
        <v>471.03385341476644</v>
      </c>
      <c r="S66" s="92">
        <f>Tableau14[[#This Row],[KUVC - Cidre]]*T$109</f>
        <v>30.306242186702093</v>
      </c>
      <c r="T66" s="92">
        <f>Tableau14[[#This Row],[KUVC - Bière, panaché]]*U$109</f>
        <v>1853.2594142947326</v>
      </c>
      <c r="U66" s="92">
        <f>Tableau14[[#This Row],[KUVC - Champagne / Mousseux]]*V$109</f>
        <v>27.891554185135728</v>
      </c>
      <c r="V66" s="92">
        <f>Tableau14[[#This Row],[KUVC - Jus / Nectar]]*W$109</f>
        <v>97.091715638602707</v>
      </c>
      <c r="W66" s="92">
        <f>Tableau14[[#This Row],[KUVC autres boissons sans alcool]]*X$109</f>
        <v>199.29352157397398</v>
      </c>
      <c r="X66" s="92">
        <f>Tableau14[[#This Row],[KUVC miel ]]*Y$109</f>
        <v>16.692961636110642</v>
      </c>
      <c r="Y66" s="92">
        <f>Tableau14[[#This Row],[KUVC Ind. Lait]]*Z$109</f>
        <v>1606.066393189461</v>
      </c>
      <c r="Z66" s="92">
        <f>Tableau14[[#This Row],[KUVC fermiers]]*AA$109</f>
        <v>164.86184869516825</v>
      </c>
    </row>
    <row r="67" spans="1:26">
      <c r="A67">
        <v>1</v>
      </c>
      <c r="B67">
        <v>2</v>
      </c>
      <c r="C67">
        <v>76</v>
      </c>
      <c r="D67" t="s">
        <v>2</v>
      </c>
      <c r="E67" t="s">
        <v>3</v>
      </c>
      <c r="F67">
        <v>77889</v>
      </c>
      <c r="G67" s="93">
        <v>810.42488845897708</v>
      </c>
      <c r="H67" s="93">
        <v>790.3359447207755</v>
      </c>
      <c r="I67" s="91">
        <f t="shared" si="21"/>
        <v>63123184.137181267</v>
      </c>
      <c r="J67">
        <f t="shared" si="22"/>
        <v>2.816385239784969E-2</v>
      </c>
      <c r="K67" s="92">
        <f t="shared" si="26"/>
        <v>78.295509666022141</v>
      </c>
      <c r="L67" s="92">
        <f t="shared" si="26"/>
        <v>4787.854907634447</v>
      </c>
      <c r="M67" s="92">
        <f t="shared" si="26"/>
        <v>288.22886543959373</v>
      </c>
      <c r="N67" s="92">
        <f t="shared" si="26"/>
        <v>1605.3395866774322</v>
      </c>
      <c r="O67" s="92">
        <f t="shared" si="26"/>
        <v>3295.1707305484138</v>
      </c>
      <c r="P67" s="92">
        <f t="shared" si="26"/>
        <v>98.573483392473918</v>
      </c>
      <c r="Q67" s="92">
        <f t="shared" si="26"/>
        <v>26555.11794040422</v>
      </c>
      <c r="R67" s="92">
        <f t="shared" si="23"/>
        <v>973.52447448576902</v>
      </c>
      <c r="S67" s="92">
        <f>Tableau14[[#This Row],[KUVC - Cidre]]*T$109</f>
        <v>62.636407732817716</v>
      </c>
      <c r="T67" s="92">
        <f>Tableau14[[#This Row],[KUVC - Bière, panaché]]*U$109</f>
        <v>3830.2839261075578</v>
      </c>
      <c r="U67" s="92">
        <f>Tableau14[[#This Row],[KUVC - Champagne / Mousseux]]*V$109</f>
        <v>57.645773087918748</v>
      </c>
      <c r="V67" s="92">
        <f>Tableau14[[#This Row],[KUVC - Jus / Nectar]]*W$109</f>
        <v>200.66744833467902</v>
      </c>
      <c r="W67" s="92">
        <f>Tableau14[[#This Row],[KUVC autres boissons sans alcool]]*X$109</f>
        <v>411.89634131855172</v>
      </c>
      <c r="X67" s="92">
        <f>Tableau14[[#This Row],[KUVC miel ]]*Y$109</f>
        <v>34.500719187365867</v>
      </c>
      <c r="Y67" s="92">
        <f>Tableau14[[#This Row],[KUVC Ind. Lait]]*Z$109</f>
        <v>3319.3897425505274</v>
      </c>
      <c r="Z67" s="92">
        <f>Tableau14[[#This Row],[KUVC fermiers]]*AA$109</f>
        <v>340.73356607001915</v>
      </c>
    </row>
    <row r="68" spans="1:26">
      <c r="A68">
        <v>41</v>
      </c>
      <c r="B68">
        <v>2</v>
      </c>
      <c r="C68">
        <v>76</v>
      </c>
      <c r="D68" t="s">
        <v>82</v>
      </c>
      <c r="E68" t="s">
        <v>83</v>
      </c>
      <c r="F68">
        <v>38327</v>
      </c>
      <c r="G68" s="93">
        <v>896.5802760603915</v>
      </c>
      <c r="H68" s="93">
        <v>834.20578454080908</v>
      </c>
      <c r="I68" s="91">
        <f t="shared" si="21"/>
        <v>34363232.240566626</v>
      </c>
      <c r="J68">
        <f t="shared" si="22"/>
        <v>1.5331942042611364E-2</v>
      </c>
      <c r="K68" s="92">
        <f t="shared" si="26"/>
        <v>42.622798878459584</v>
      </c>
      <c r="L68" s="92">
        <f t="shared" si="26"/>
        <v>2606.4301472439315</v>
      </c>
      <c r="M68" s="92">
        <f t="shared" si="26"/>
        <v>156.90709486408468</v>
      </c>
      <c r="N68" s="92">
        <f t="shared" si="26"/>
        <v>873.92069642884769</v>
      </c>
      <c r="O68" s="92">
        <f t="shared" si="26"/>
        <v>1793.8372189855297</v>
      </c>
      <c r="P68" s="92">
        <f t="shared" si="26"/>
        <v>53.661797149139773</v>
      </c>
      <c r="Q68" s="92">
        <f t="shared" si="26"/>
        <v>14456.1732338887</v>
      </c>
      <c r="R68" s="92">
        <f t="shared" si="23"/>
        <v>529.97085089890254</v>
      </c>
      <c r="S68" s="92">
        <f>Tableau14[[#This Row],[KUVC - Cidre]]*T$109</f>
        <v>34.098239102767671</v>
      </c>
      <c r="T68" s="92">
        <f>Tableau14[[#This Row],[KUVC - Bière, panaché]]*U$109</f>
        <v>2085.1441177951451</v>
      </c>
      <c r="U68" s="92">
        <f>Tableau14[[#This Row],[KUVC - Champagne / Mousseux]]*V$109</f>
        <v>31.381418972816938</v>
      </c>
      <c r="V68" s="92">
        <f>Tableau14[[#This Row],[KUVC - Jus / Nectar]]*W$109</f>
        <v>109.24008705360596</v>
      </c>
      <c r="W68" s="92">
        <f>Tableau14[[#This Row],[KUVC autres boissons sans alcool]]*X$109</f>
        <v>224.22965237319121</v>
      </c>
      <c r="X68" s="92">
        <f>Tableau14[[#This Row],[KUVC miel ]]*Y$109</f>
        <v>18.781629002198919</v>
      </c>
      <c r="Y68" s="92">
        <f>Tableau14[[#This Row],[KUVC Ind. Lait]]*Z$109</f>
        <v>1807.0216542360874</v>
      </c>
      <c r="Z68" s="92">
        <f>Tableau14[[#This Row],[KUVC fermiers]]*AA$109</f>
        <v>185.48979781461588</v>
      </c>
    </row>
    <row r="69" spans="1:26">
      <c r="A69">
        <v>54</v>
      </c>
      <c r="B69">
        <v>2</v>
      </c>
      <c r="C69">
        <v>76</v>
      </c>
      <c r="D69" t="s">
        <v>108</v>
      </c>
      <c r="E69" t="s">
        <v>109</v>
      </c>
      <c r="F69">
        <v>265498</v>
      </c>
      <c r="G69" s="93">
        <v>614.1423148464437</v>
      </c>
      <c r="H69" s="93">
        <v>598.04320148405191</v>
      </c>
      <c r="I69" s="91">
        <f t="shared" ref="I69:I75" si="27">G69*F69</f>
        <v>163053556.3071011</v>
      </c>
      <c r="J69">
        <f t="shared" ref="J69:J100" si="28">I69/$I$79</f>
        <v>7.275007361475494E-2</v>
      </c>
      <c r="K69" s="92">
        <f t="shared" si="26"/>
        <v>202.24520464901872</v>
      </c>
      <c r="L69" s="92">
        <f t="shared" si="26"/>
        <v>12367.51251450834</v>
      </c>
      <c r="M69" s="92">
        <f t="shared" si="26"/>
        <v>744.52425337340196</v>
      </c>
      <c r="N69" s="92">
        <f t="shared" si="26"/>
        <v>4146.7541960410317</v>
      </c>
      <c r="O69" s="92">
        <f t="shared" si="26"/>
        <v>8511.7586129263291</v>
      </c>
      <c r="P69" s="92">
        <f t="shared" si="26"/>
        <v>254.6252576516423</v>
      </c>
      <c r="Q69" s="92">
        <f t="shared" si="26"/>
        <v>68594.550124840374</v>
      </c>
      <c r="R69" s="92">
        <f t="shared" ref="R69:R75" si="29">$J69*R$79</f>
        <v>2514.7119855667447</v>
      </c>
      <c r="S69" s="92">
        <f>Tableau14[[#This Row],[KUVC - Cidre]]*T$109</f>
        <v>161.79616371921497</v>
      </c>
      <c r="T69" s="92">
        <f>Tableau14[[#This Row],[KUVC - Bière, panaché]]*U$109</f>
        <v>9894.0100116066733</v>
      </c>
      <c r="U69" s="92">
        <f>Tableau14[[#This Row],[KUVC - Champagne / Mousseux]]*V$109</f>
        <v>148.9048506746804</v>
      </c>
      <c r="V69" s="92">
        <f>Tableau14[[#This Row],[KUVC - Jus / Nectar]]*W$109</f>
        <v>518.34427450512896</v>
      </c>
      <c r="W69" s="92">
        <f>Tableau14[[#This Row],[KUVC autres boissons sans alcool]]*X$109</f>
        <v>1063.9698266157911</v>
      </c>
      <c r="X69" s="92">
        <f>Tableau14[[#This Row],[KUVC miel ]]*Y$109</f>
        <v>89.118840178074805</v>
      </c>
      <c r="Y69" s="92">
        <f>Tableau14[[#This Row],[KUVC Ind. Lait]]*Z$109</f>
        <v>8574.3187656050468</v>
      </c>
      <c r="Z69" s="92">
        <f>Tableau14[[#This Row],[KUVC fermiers]]*AA$109</f>
        <v>880.14919494836056</v>
      </c>
    </row>
    <row r="70" spans="1:26">
      <c r="A70">
        <v>65</v>
      </c>
      <c r="B70">
        <v>2</v>
      </c>
      <c r="C70">
        <v>76</v>
      </c>
      <c r="D70" t="s">
        <v>130</v>
      </c>
      <c r="E70" t="s">
        <v>131</v>
      </c>
      <c r="F70">
        <v>15038</v>
      </c>
      <c r="G70" s="93">
        <v>877.05599406110537</v>
      </c>
      <c r="H70" s="93">
        <v>849.48976974488085</v>
      </c>
      <c r="I70" s="91">
        <f t="shared" si="27"/>
        <v>13189168.038690902</v>
      </c>
      <c r="J70">
        <f t="shared" si="28"/>
        <v>5.884648991800915E-3</v>
      </c>
      <c r="K70" s="92">
        <f t="shared" si="26"/>
        <v>16.35932419720654</v>
      </c>
      <c r="L70" s="92">
        <f t="shared" si="26"/>
        <v>1000.3903286061555</v>
      </c>
      <c r="M70" s="92">
        <f t="shared" si="26"/>
        <v>60.223497782090568</v>
      </c>
      <c r="N70" s="92">
        <f t="shared" si="26"/>
        <v>335.4249925326522</v>
      </c>
      <c r="O70" s="92">
        <f t="shared" si="26"/>
        <v>688.50393204070701</v>
      </c>
      <c r="P70" s="92">
        <f t="shared" si="26"/>
        <v>20.596271471303204</v>
      </c>
      <c r="Q70" s="92">
        <f t="shared" si="26"/>
        <v>5548.5146636787913</v>
      </c>
      <c r="R70" s="92">
        <f t="shared" si="29"/>
        <v>203.41144160070922</v>
      </c>
      <c r="S70" s="92">
        <f>Tableau14[[#This Row],[KUVC - Cidre]]*T$109</f>
        <v>13.087459357765233</v>
      </c>
      <c r="T70" s="92">
        <f>Tableau14[[#This Row],[KUVC - Bière, panaché]]*U$109</f>
        <v>800.31226288492451</v>
      </c>
      <c r="U70" s="92">
        <f>Tableau14[[#This Row],[KUVC - Champagne / Mousseux]]*V$109</f>
        <v>12.044699556418115</v>
      </c>
      <c r="V70" s="92">
        <f>Tableau14[[#This Row],[KUVC - Jus / Nectar]]*W$109</f>
        <v>41.928124066581525</v>
      </c>
      <c r="W70" s="92">
        <f>Tableau14[[#This Row],[KUVC autres boissons sans alcool]]*X$109</f>
        <v>86.062991505088377</v>
      </c>
      <c r="X70" s="92">
        <f>Tableau14[[#This Row],[KUVC miel ]]*Y$109</f>
        <v>7.2086950149561213</v>
      </c>
      <c r="Y70" s="92">
        <f>Tableau14[[#This Row],[KUVC Ind. Lait]]*Z$109</f>
        <v>693.56433295984891</v>
      </c>
      <c r="Z70" s="92">
        <f>Tableau14[[#This Row],[KUVC fermiers]]*AA$109</f>
        <v>71.194004560248217</v>
      </c>
    </row>
    <row r="71" spans="1:26">
      <c r="A71">
        <v>2</v>
      </c>
      <c r="B71">
        <v>3</v>
      </c>
      <c r="C71">
        <v>76</v>
      </c>
      <c r="D71" t="s">
        <v>4</v>
      </c>
      <c r="E71" t="s">
        <v>5</v>
      </c>
      <c r="F71">
        <v>496629</v>
      </c>
      <c r="G71" s="93">
        <v>587.19793976998528</v>
      </c>
      <c r="H71" s="93">
        <v>572.7734014557725</v>
      </c>
      <c r="I71" s="91">
        <f t="shared" si="27"/>
        <v>291619525.63002801</v>
      </c>
      <c r="J71">
        <f t="shared" si="28"/>
        <v>0.13011272147371442</v>
      </c>
      <c r="K71" s="92">
        <f t="shared" si="26"/>
        <v>361.71336569692602</v>
      </c>
      <c r="L71" s="92">
        <f t="shared" si="26"/>
        <v>22119.162650531449</v>
      </c>
      <c r="M71" s="92">
        <f t="shared" si="26"/>
        <v>1331.5735915619932</v>
      </c>
      <c r="N71" s="92">
        <f t="shared" si="26"/>
        <v>7416.425124001722</v>
      </c>
      <c r="O71" s="92">
        <f t="shared" si="26"/>
        <v>15223.188412424588</v>
      </c>
      <c r="P71" s="92">
        <f t="shared" si="26"/>
        <v>455.39452515800042</v>
      </c>
      <c r="Q71" s="92">
        <f t="shared" si="26"/>
        <v>122680.61256226625</v>
      </c>
      <c r="R71" s="92">
        <f t="shared" si="29"/>
        <v>4497.5352450818182</v>
      </c>
      <c r="S71" s="92">
        <f>Tableau14[[#This Row],[KUVC - Cidre]]*T$109</f>
        <v>289.37069255754085</v>
      </c>
      <c r="T71" s="92">
        <f>Tableau14[[#This Row],[KUVC - Bière, panaché]]*U$109</f>
        <v>17695.330120425158</v>
      </c>
      <c r="U71" s="92">
        <f>Tableau14[[#This Row],[KUVC - Champagne / Mousseux]]*V$109</f>
        <v>266.31471831239867</v>
      </c>
      <c r="V71" s="92">
        <f>Tableau14[[#This Row],[KUVC - Jus / Nectar]]*W$109</f>
        <v>927.05314050021525</v>
      </c>
      <c r="W71" s="92">
        <f>Tableau14[[#This Row],[KUVC autres boissons sans alcool]]*X$109</f>
        <v>1902.8985515530735</v>
      </c>
      <c r="X71" s="92">
        <f>Tableau14[[#This Row],[KUVC miel ]]*Y$109</f>
        <v>159.38808380530014</v>
      </c>
      <c r="Y71" s="92">
        <f>Tableau14[[#This Row],[KUVC Ind. Lait]]*Z$109</f>
        <v>15335.076570283281</v>
      </c>
      <c r="Z71" s="92">
        <f>Tableau14[[#This Row],[KUVC fermiers]]*AA$109</f>
        <v>1574.1373357786363</v>
      </c>
    </row>
    <row r="72" spans="1:26">
      <c r="A72">
        <v>43</v>
      </c>
      <c r="B72">
        <v>3</v>
      </c>
      <c r="C72">
        <v>76</v>
      </c>
      <c r="D72" t="s">
        <v>86</v>
      </c>
      <c r="E72" t="s">
        <v>87</v>
      </c>
      <c r="F72">
        <v>21198</v>
      </c>
      <c r="G72" s="93">
        <v>713.31939962099784</v>
      </c>
      <c r="H72" s="93">
        <v>688.45138385439429</v>
      </c>
      <c r="I72" s="91">
        <f t="shared" si="27"/>
        <v>15120944.633165913</v>
      </c>
      <c r="J72">
        <f t="shared" si="28"/>
        <v>6.746555304292654E-3</v>
      </c>
      <c r="K72" s="92">
        <f t="shared" si="26"/>
        <v>18.755423745933577</v>
      </c>
      <c r="L72" s="92">
        <f t="shared" si="26"/>
        <v>1146.9144017297513</v>
      </c>
      <c r="M72" s="92">
        <f t="shared" si="26"/>
        <v>69.044246984131021</v>
      </c>
      <c r="N72" s="92">
        <f t="shared" si="26"/>
        <v>384.55365234468127</v>
      </c>
      <c r="O72" s="92">
        <f t="shared" si="26"/>
        <v>789.34697060224062</v>
      </c>
      <c r="P72" s="92">
        <f t="shared" si="26"/>
        <v>23.612943565024288</v>
      </c>
      <c r="Q72" s="92">
        <f t="shared" si="26"/>
        <v>6361.1884221715927</v>
      </c>
      <c r="R72" s="92">
        <f t="shared" si="29"/>
        <v>233.20448546670218</v>
      </c>
      <c r="S72" s="92">
        <f>Tableau14[[#This Row],[KUVC - Cidre]]*T$109</f>
        <v>15.004338996746862</v>
      </c>
      <c r="T72" s="92">
        <f>Tableau14[[#This Row],[KUVC - Bière, panaché]]*U$109</f>
        <v>917.53152138380108</v>
      </c>
      <c r="U72" s="92">
        <f>Tableau14[[#This Row],[KUVC - Champagne / Mousseux]]*V$109</f>
        <v>13.808849396826204</v>
      </c>
      <c r="V72" s="92">
        <f>Tableau14[[#This Row],[KUVC - Jus / Nectar]]*W$109</f>
        <v>48.069206543085159</v>
      </c>
      <c r="W72" s="92">
        <f>Tableau14[[#This Row],[KUVC autres boissons sans alcool]]*X$109</f>
        <v>98.668371325280077</v>
      </c>
      <c r="X72" s="92">
        <f>Tableau14[[#This Row],[KUVC miel ]]*Y$109</f>
        <v>8.2645302477585005</v>
      </c>
      <c r="Y72" s="92">
        <f>Tableau14[[#This Row],[KUVC Ind. Lait]]*Z$109</f>
        <v>795.14855277144909</v>
      </c>
      <c r="Z72" s="92">
        <f>Tableau14[[#This Row],[KUVC fermiers]]*AA$109</f>
        <v>81.621569913345752</v>
      </c>
    </row>
    <row r="73" spans="1:26">
      <c r="A73">
        <v>46</v>
      </c>
      <c r="B73">
        <v>3</v>
      </c>
      <c r="C73">
        <v>76</v>
      </c>
      <c r="D73" t="s">
        <v>92</v>
      </c>
      <c r="E73" t="s">
        <v>93</v>
      </c>
      <c r="F73">
        <v>55643</v>
      </c>
      <c r="G73" s="93">
        <v>549.83094053782452</v>
      </c>
      <c r="H73" s="93">
        <v>538.05662311403455</v>
      </c>
      <c r="I73" s="91">
        <f t="shared" si="27"/>
        <v>30594243.024346169</v>
      </c>
      <c r="J73">
        <f t="shared" si="28"/>
        <v>1.3650321296990653E-2</v>
      </c>
      <c r="K73" s="92">
        <f t="shared" si="26"/>
        <v>37.94789320563401</v>
      </c>
      <c r="L73" s="92">
        <f t="shared" si="26"/>
        <v>2320.5546204884108</v>
      </c>
      <c r="M73" s="92">
        <f t="shared" si="26"/>
        <v>139.69738815340233</v>
      </c>
      <c r="N73" s="92">
        <f t="shared" si="26"/>
        <v>778.06831392846721</v>
      </c>
      <c r="O73" s="92">
        <f t="shared" si="26"/>
        <v>1597.0875917479063</v>
      </c>
      <c r="P73" s="92">
        <f t="shared" si="26"/>
        <v>47.77612453946729</v>
      </c>
      <c r="Q73" s="92">
        <f t="shared" si="26"/>
        <v>12870.607573333047</v>
      </c>
      <c r="R73" s="92">
        <f t="shared" si="29"/>
        <v>471.84318677331709</v>
      </c>
      <c r="S73" s="92">
        <f>Tableau14[[#This Row],[KUVC - Cidre]]*T$109</f>
        <v>30.358314564507211</v>
      </c>
      <c r="T73" s="92">
        <f>Tableau14[[#This Row],[KUVC - Bière, panaché]]*U$109</f>
        <v>1856.4436963907287</v>
      </c>
      <c r="U73" s="92">
        <f>Tableau14[[#This Row],[KUVC - Champagne / Mousseux]]*V$109</f>
        <v>27.939477630680468</v>
      </c>
      <c r="V73" s="92">
        <f>Tableau14[[#This Row],[KUVC - Jus / Nectar]]*W$109</f>
        <v>97.258539241058401</v>
      </c>
      <c r="W73" s="92">
        <f>Tableau14[[#This Row],[KUVC autres boissons sans alcool]]*X$109</f>
        <v>199.63594896848829</v>
      </c>
      <c r="X73" s="92">
        <f>Tableau14[[#This Row],[KUVC miel ]]*Y$109</f>
        <v>16.721643588813549</v>
      </c>
      <c r="Y73" s="92">
        <f>Tableau14[[#This Row],[KUVC Ind. Lait]]*Z$109</f>
        <v>1608.8259466666309</v>
      </c>
      <c r="Z73" s="92">
        <f>Tableau14[[#This Row],[KUVC fermiers]]*AA$109</f>
        <v>165.14511537066096</v>
      </c>
    </row>
    <row r="74" spans="1:26">
      <c r="A74">
        <v>68</v>
      </c>
      <c r="B74">
        <v>3</v>
      </c>
      <c r="C74">
        <v>76</v>
      </c>
      <c r="D74" t="s">
        <v>136</v>
      </c>
      <c r="E74" t="s">
        <v>137</v>
      </c>
      <c r="F74">
        <v>26035</v>
      </c>
      <c r="G74" s="93">
        <v>776.31263817282456</v>
      </c>
      <c r="H74" s="93">
        <v>739.45095274726737</v>
      </c>
      <c r="I74" s="91">
        <f t="shared" si="27"/>
        <v>20211299.534829486</v>
      </c>
      <c r="J74">
        <f t="shared" si="28"/>
        <v>9.0177335736201392E-3</v>
      </c>
      <c r="K74" s="92">
        <f t="shared" si="26"/>
        <v>25.069299334663985</v>
      </c>
      <c r="L74" s="92">
        <f t="shared" si="26"/>
        <v>1533.0147075154237</v>
      </c>
      <c r="M74" s="92">
        <f t="shared" si="26"/>
        <v>92.287485392428508</v>
      </c>
      <c r="N74" s="92">
        <f t="shared" si="26"/>
        <v>514.0108136963479</v>
      </c>
      <c r="O74" s="92">
        <f t="shared" si="26"/>
        <v>1055.0748281135564</v>
      </c>
      <c r="P74" s="92">
        <f t="shared" si="26"/>
        <v>31.562067507670488</v>
      </c>
      <c r="Q74" s="92">
        <f t="shared" si="26"/>
        <v>8502.6357623188269</v>
      </c>
      <c r="R74" s="92">
        <f t="shared" si="29"/>
        <v>311.7110619064847</v>
      </c>
      <c r="S74" s="92">
        <f>Tableau14[[#This Row],[KUVC - Cidre]]*T$109</f>
        <v>20.05543946773119</v>
      </c>
      <c r="T74" s="92">
        <f>Tableau14[[#This Row],[KUVC - Bière, panaché]]*U$109</f>
        <v>1226.4117660123391</v>
      </c>
      <c r="U74" s="92">
        <f>Tableau14[[#This Row],[KUVC - Champagne / Mousseux]]*V$109</f>
        <v>18.457497078485702</v>
      </c>
      <c r="V74" s="92">
        <f>Tableau14[[#This Row],[KUVC - Jus / Nectar]]*W$109</f>
        <v>64.251351712043487</v>
      </c>
      <c r="W74" s="92">
        <f>Tableau14[[#This Row],[KUVC autres boissons sans alcool]]*X$109</f>
        <v>131.88435351419454</v>
      </c>
      <c r="X74" s="92">
        <f>Tableau14[[#This Row],[KUVC miel ]]*Y$109</f>
        <v>11.046723627684671</v>
      </c>
      <c r="Y74" s="92">
        <f>Tableau14[[#This Row],[KUVC Ind. Lait]]*Z$109</f>
        <v>1062.8294702898534</v>
      </c>
      <c r="Z74" s="92">
        <f>Tableau14[[#This Row],[KUVC fermiers]]*AA$109</f>
        <v>109.09887166726963</v>
      </c>
    </row>
    <row r="75" spans="1:26">
      <c r="A75">
        <v>69</v>
      </c>
      <c r="B75">
        <v>3</v>
      </c>
      <c r="C75">
        <v>76</v>
      </c>
      <c r="D75" t="s">
        <v>138</v>
      </c>
      <c r="E75" t="s">
        <v>139</v>
      </c>
      <c r="F75">
        <v>25189</v>
      </c>
      <c r="G75" s="93">
        <v>590.11035439162288</v>
      </c>
      <c r="H75" s="93">
        <v>576.52077167924756</v>
      </c>
      <c r="I75" s="91">
        <f t="shared" si="27"/>
        <v>14864289.716770589</v>
      </c>
      <c r="J75">
        <f t="shared" si="28"/>
        <v>6.6320428429625759E-3</v>
      </c>
      <c r="K75" s="92">
        <f t="shared" si="26"/>
        <v>18.437079103435959</v>
      </c>
      <c r="L75" s="92">
        <f t="shared" si="26"/>
        <v>1127.447283303638</v>
      </c>
      <c r="M75" s="92">
        <f t="shared" si="26"/>
        <v>67.872326454879001</v>
      </c>
      <c r="N75" s="92">
        <f t="shared" si="26"/>
        <v>378.02644204886684</v>
      </c>
      <c r="O75" s="92">
        <f t="shared" si="26"/>
        <v>775.94901262662142</v>
      </c>
      <c r="P75" s="92">
        <f t="shared" si="26"/>
        <v>23.212149950369014</v>
      </c>
      <c r="Q75" s="92">
        <f t="shared" si="26"/>
        <v>6253.2169744694183</v>
      </c>
      <c r="R75" s="92">
        <f t="shared" si="29"/>
        <v>229.24619587749288</v>
      </c>
      <c r="S75" s="92">
        <f>Tableau14[[#This Row],[KUVC - Cidre]]*T$109</f>
        <v>14.749663282748768</v>
      </c>
      <c r="T75" s="92">
        <f>Tableau14[[#This Row],[KUVC - Bière, panaché]]*U$109</f>
        <v>901.95782664291039</v>
      </c>
      <c r="U75" s="92">
        <f>Tableau14[[#This Row],[KUVC - Champagne / Mousseux]]*V$109</f>
        <v>13.574465290975802</v>
      </c>
      <c r="V75" s="92">
        <f>Tableau14[[#This Row],[KUVC - Jus / Nectar]]*W$109</f>
        <v>47.253305256108355</v>
      </c>
      <c r="W75" s="92">
        <f>Tableau14[[#This Row],[KUVC autres boissons sans alcool]]*X$109</f>
        <v>96.993626578327678</v>
      </c>
      <c r="X75" s="92">
        <f>Tableau14[[#This Row],[KUVC miel ]]*Y$109</f>
        <v>8.1242524826291547</v>
      </c>
      <c r="Y75" s="92">
        <f>Tableau14[[#This Row],[KUVC Ind. Lait]]*Z$109</f>
        <v>781.65212180867729</v>
      </c>
      <c r="Z75" s="92">
        <f>Tableau14[[#This Row],[KUVC fermiers]]*AA$109</f>
        <v>80.236168557122497</v>
      </c>
    </row>
    <row r="76" spans="1:26">
      <c r="K76" s="104">
        <f>SUM(K5:K75)</f>
        <v>2780</v>
      </c>
      <c r="L76" s="104">
        <f t="shared" ref="L76:Z76" si="30">SUM(L5:L75)</f>
        <v>170000</v>
      </c>
      <c r="M76" s="104">
        <f t="shared" si="30"/>
        <v>10234</v>
      </c>
      <c r="N76" s="104">
        <f t="shared" si="30"/>
        <v>57000.000000000007</v>
      </c>
      <c r="O76" s="104">
        <f t="shared" si="30"/>
        <v>117000.00000000003</v>
      </c>
      <c r="P76" s="104">
        <f t="shared" si="30"/>
        <v>3499.9999999999986</v>
      </c>
      <c r="Q76" s="104">
        <f t="shared" si="30"/>
        <v>942879.45999999985</v>
      </c>
      <c r="R76" s="104">
        <f t="shared" si="30"/>
        <v>34566.452796780672</v>
      </c>
      <c r="S76" s="104">
        <f t="shared" si="30"/>
        <v>2224</v>
      </c>
      <c r="T76" s="104">
        <f t="shared" si="30"/>
        <v>136000</v>
      </c>
      <c r="U76" s="104">
        <f t="shared" si="30"/>
        <v>2046.8000000000002</v>
      </c>
      <c r="V76" s="104">
        <f t="shared" si="30"/>
        <v>7125.0000000000009</v>
      </c>
      <c r="W76" s="104">
        <f t="shared" si="30"/>
        <v>14625.000000000004</v>
      </c>
      <c r="X76" s="104">
        <f t="shared" si="30"/>
        <v>1225</v>
      </c>
      <c r="Y76" s="104">
        <v>117859.9325</v>
      </c>
      <c r="Z76" s="104">
        <f t="shared" si="30"/>
        <v>12098.258478873233</v>
      </c>
    </row>
    <row r="77" spans="1:26" hidden="1">
      <c r="K77" s="104"/>
      <c r="L77" s="104"/>
      <c r="M77" s="104"/>
      <c r="N77" s="104"/>
      <c r="O77" s="104"/>
      <c r="P77" s="104"/>
      <c r="Q77" s="104"/>
      <c r="R77" s="104"/>
      <c r="S77" s="104"/>
      <c r="T77" s="104"/>
      <c r="U77" s="104"/>
      <c r="V77" s="104"/>
      <c r="W77" s="104"/>
      <c r="X77" s="104"/>
      <c r="Y77" s="104"/>
      <c r="Z77" s="104"/>
    </row>
    <row r="78" spans="1:26" hidden="1">
      <c r="K78" s="104"/>
      <c r="L78" s="104"/>
      <c r="M78" s="104"/>
      <c r="N78" s="104"/>
      <c r="O78" s="104"/>
      <c r="P78" s="104"/>
      <c r="Q78" s="104"/>
      <c r="R78" s="104"/>
      <c r="S78" s="104">
        <f>S76/K76</f>
        <v>0.8</v>
      </c>
      <c r="T78" s="104">
        <f t="shared" ref="T78:Y78" si="31">T76/L76</f>
        <v>0.8</v>
      </c>
      <c r="U78" s="104">
        <f t="shared" si="31"/>
        <v>0.2</v>
      </c>
      <c r="V78" s="104">
        <f t="shared" si="31"/>
        <v>0.125</v>
      </c>
      <c r="W78" s="104">
        <f t="shared" si="31"/>
        <v>0.125</v>
      </c>
      <c r="X78" s="104">
        <f t="shared" si="31"/>
        <v>0.35000000000000014</v>
      </c>
      <c r="Y78" s="104">
        <f t="shared" si="31"/>
        <v>0.12500000000000003</v>
      </c>
      <c r="Z78" s="104">
        <f>Z76/R76</f>
        <v>0.34999999999999992</v>
      </c>
    </row>
    <row r="79" spans="1:26" hidden="1">
      <c r="I79" s="91">
        <f>SUM(I5:I75)</f>
        <v>2241283729.4233484</v>
      </c>
      <c r="J79" s="91">
        <f>SUM(J5:J75)</f>
        <v>1.0000000000000002</v>
      </c>
      <c r="K79">
        <v>2.78</v>
      </c>
      <c r="L79">
        <v>170</v>
      </c>
      <c r="M79">
        <v>10.234</v>
      </c>
      <c r="N79">
        <v>57</v>
      </c>
      <c r="O79">
        <v>117</v>
      </c>
      <c r="P79">
        <v>3.5</v>
      </c>
      <c r="Q79">
        <f>Q81/1000</f>
        <v>942.87945999999999</v>
      </c>
      <c r="R79">
        <f>R82*0.8</f>
        <v>34566.452796780657</v>
      </c>
      <c r="S79">
        <f>0.834*1000</f>
        <v>834</v>
      </c>
      <c r="T79">
        <v>51000</v>
      </c>
      <c r="U79">
        <v>1</v>
      </c>
      <c r="V79">
        <v>7125</v>
      </c>
      <c r="W79">
        <v>49725</v>
      </c>
      <c r="X79">
        <v>1050</v>
      </c>
    </row>
    <row r="80" spans="1:26" hidden="1"/>
    <row r="81" spans="17:30" hidden="1">
      <c r="Q81">
        <v>942879.46</v>
      </c>
    </row>
    <row r="82" spans="17:30" hidden="1">
      <c r="R82">
        <v>43208.06599597582</v>
      </c>
    </row>
    <row r="83" spans="17:30" hidden="1">
      <c r="Q83" s="86" t="s">
        <v>856</v>
      </c>
    </row>
    <row r="84" spans="17:30" hidden="1">
      <c r="Q84">
        <v>2.6132081161155503</v>
      </c>
    </row>
    <row r="85" spans="17:30" hidden="1">
      <c r="Q85" t="s">
        <v>638</v>
      </c>
    </row>
    <row r="86" spans="17:30" hidden="1">
      <c r="Q86">
        <f>942879.46/1000</f>
        <v>942.87945999999999</v>
      </c>
      <c r="R86">
        <f>R79/1000</f>
        <v>34.566452796780659</v>
      </c>
    </row>
    <row r="87" spans="17:30" hidden="1"/>
    <row r="88" spans="17:30" hidden="1">
      <c r="Z88" s="53" t="s">
        <v>181</v>
      </c>
      <c r="AA88">
        <f>SUM(J5:J20)</f>
        <v>0.23259622083937048</v>
      </c>
    </row>
    <row r="89" spans="17:30" hidden="1">
      <c r="Z89" s="53" t="s">
        <v>205</v>
      </c>
      <c r="AA89">
        <f>SUM(J21:J33)</f>
        <v>0.16682427841970962</v>
      </c>
    </row>
    <row r="90" spans="17:30" hidden="1">
      <c r="Z90" s="53" t="s">
        <v>200</v>
      </c>
      <c r="AA90" s="92">
        <f>SUM(J34:J41)</f>
        <v>0.16274040126041978</v>
      </c>
      <c r="AB90" s="92"/>
      <c r="AC90" s="92"/>
    </row>
    <row r="91" spans="17:30" hidden="1">
      <c r="Z91" s="53" t="s">
        <v>196</v>
      </c>
      <c r="AA91">
        <f>SUM(J42:J57)</f>
        <v>7.5295058528769498E-2</v>
      </c>
    </row>
    <row r="92" spans="17:30" hidden="1">
      <c r="Z92" s="53" t="s">
        <v>191</v>
      </c>
      <c r="AA92">
        <f>SUM(J58:J75)</f>
        <v>0.36254404095173065</v>
      </c>
    </row>
    <row r="93" spans="17:30" hidden="1">
      <c r="Z93" s="58" t="s">
        <v>631</v>
      </c>
      <c r="AA93">
        <f>SUM(AA88:AA92)</f>
        <v>1</v>
      </c>
    </row>
    <row r="94" spans="17:30" hidden="1"/>
    <row r="95" spans="17:30" hidden="1"/>
    <row r="96" spans="17:30" hidden="1">
      <c r="AD96" s="92"/>
    </row>
    <row r="97" spans="20:48" hidden="1"/>
    <row r="98" spans="20:48" hidden="1"/>
    <row r="99" spans="20:48" hidden="1"/>
    <row r="100" spans="20:48" hidden="1"/>
    <row r="101" spans="20:48" hidden="1"/>
    <row r="102" spans="20:48" ht="30" hidden="1">
      <c r="AA102" s="53" t="s">
        <v>181</v>
      </c>
      <c r="AB102" s="53"/>
      <c r="AC102" s="53"/>
      <c r="AD102" s="53" t="s">
        <v>205</v>
      </c>
      <c r="AE102" s="53" t="s">
        <v>200</v>
      </c>
      <c r="AF102" s="53" t="s">
        <v>196</v>
      </c>
      <c r="AG102" s="53" t="s">
        <v>191</v>
      </c>
      <c r="AH102" s="58" t="s">
        <v>631</v>
      </c>
    </row>
    <row r="103" spans="20:48" hidden="1">
      <c r="AA103">
        <v>0.23259622083937048</v>
      </c>
      <c r="AD103">
        <v>0.16682427841970962</v>
      </c>
      <c r="AE103">
        <v>0.16274040126041978</v>
      </c>
      <c r="AF103">
        <v>7.5295058528769498E-2</v>
      </c>
      <c r="AG103">
        <v>0.36254404095173065</v>
      </c>
      <c r="AH103">
        <v>1</v>
      </c>
    </row>
    <row r="104" spans="20:48" hidden="1"/>
    <row r="105" spans="20:48" hidden="1">
      <c r="AV105" s="87">
        <f>SUM(AS5:AS20)</f>
        <v>1947.0957127967808</v>
      </c>
    </row>
    <row r="106" spans="20:48" hidden="1"/>
    <row r="107" spans="20:48" hidden="1">
      <c r="T107" t="s">
        <v>876</v>
      </c>
    </row>
    <row r="108" spans="20:48" ht="47.25" hidden="1">
      <c r="T108" s="105" t="s">
        <v>866</v>
      </c>
      <c r="U108" s="105" t="s">
        <v>867</v>
      </c>
      <c r="V108" s="105" t="s">
        <v>869</v>
      </c>
      <c r="W108" s="105" t="s">
        <v>870</v>
      </c>
      <c r="X108" s="105" t="s">
        <v>871</v>
      </c>
      <c r="Y108" s="105" t="s">
        <v>872</v>
      </c>
      <c r="Z108" s="105" t="s">
        <v>873</v>
      </c>
      <c r="AA108" s="105" t="s">
        <v>868</v>
      </c>
    </row>
    <row r="109" spans="20:48" hidden="1">
      <c r="T109">
        <v>0.8</v>
      </c>
      <c r="U109">
        <v>0.8</v>
      </c>
      <c r="V109">
        <v>0.2</v>
      </c>
      <c r="W109">
        <v>0.125</v>
      </c>
      <c r="X109">
        <v>0.125</v>
      </c>
      <c r="Y109">
        <v>0.35</v>
      </c>
      <c r="Z109">
        <v>0.125</v>
      </c>
      <c r="AA109">
        <v>0.35</v>
      </c>
    </row>
    <row r="110" spans="20:48" hidden="1"/>
    <row r="111" spans="20:48" hidden="1"/>
    <row r="112" spans="20:48"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sheetData>
  <sheetProtection sheet="1" objects="1" scenarios="1"/>
  <sortState xmlns:xlrd2="http://schemas.microsoft.com/office/spreadsheetml/2017/richdata2" ref="A5:AV75">
    <sortCondition ref="A5:A75"/>
  </sortState>
  <mergeCells count="11">
    <mergeCell ref="A3:C3"/>
    <mergeCell ref="D3:E3"/>
    <mergeCell ref="F2:Z2"/>
    <mergeCell ref="F3:J3"/>
    <mergeCell ref="S3:Z3"/>
    <mergeCell ref="A2:E2"/>
    <mergeCell ref="AC3:AJ3"/>
    <mergeCell ref="AC22:AJ22"/>
    <mergeCell ref="AM3:AS3"/>
    <mergeCell ref="AM23:AS23"/>
    <mergeCell ref="K3:R3"/>
  </mergeCells>
  <pageMargins left="0.7" right="0.7" top="0.75" bottom="0.75" header="0.3" footer="0.3"/>
  <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8DBC7-9823-44BC-B3B5-6ECD7BC9DF93}">
  <sheetPr codeName="Feuil19"/>
  <dimension ref="A1:DR105"/>
  <sheetViews>
    <sheetView topLeftCell="BH1" zoomScaleNormal="100" workbookViewId="0">
      <selection activeCell="BO13" sqref="BO13"/>
    </sheetView>
  </sheetViews>
  <sheetFormatPr baseColWidth="10" defaultRowHeight="15.75"/>
  <cols>
    <col min="2" max="2" width="15.125" customWidth="1"/>
    <col min="3" max="3" width="13" customWidth="1"/>
    <col min="4" max="4" width="14.5" customWidth="1"/>
    <col min="5" max="5" width="14.375" customWidth="1"/>
    <col min="7" max="7" width="14.75" customWidth="1"/>
    <col min="8" max="8" width="14" customWidth="1"/>
    <col min="9" max="9" width="19.875" customWidth="1"/>
    <col min="10" max="10" width="20.5" customWidth="1"/>
    <col min="11" max="11" width="11.5" customWidth="1"/>
    <col min="12" max="12" width="14" customWidth="1"/>
    <col min="13" max="13" width="12.75" customWidth="1"/>
    <col min="14" max="14" width="11.875" customWidth="1"/>
    <col min="15" max="15" width="15.625" customWidth="1"/>
    <col min="16" max="16" width="14.875" customWidth="1"/>
    <col min="17" max="17" width="16" customWidth="1"/>
    <col min="18" max="18" width="21.375" customWidth="1"/>
    <col min="19" max="19" width="12.375" customWidth="1"/>
    <col min="20" max="20" width="14.875" customWidth="1"/>
    <col min="21" max="21" width="11.25" customWidth="1"/>
    <col min="22" max="22" width="11.875" customWidth="1"/>
    <col min="23" max="23" width="15.625" customWidth="1"/>
    <col min="24" max="24" width="15.75" customWidth="1"/>
    <col min="25" max="25" width="21.625" customWidth="1"/>
    <col min="26" max="26" width="22.25" customWidth="1"/>
    <col min="27" max="27" width="13.25" customWidth="1"/>
    <col min="28" max="28" width="15.75" customWidth="1"/>
    <col min="29" max="29" width="11.875" bestFit="1" customWidth="1"/>
    <col min="30" max="30" width="15.125" customWidth="1"/>
    <col min="31" max="31" width="18.5" customWidth="1"/>
    <col min="32" max="32" width="15.75" customWidth="1"/>
    <col min="33" max="33" width="21.625" customWidth="1"/>
    <col min="34" max="34" width="22.25" customWidth="1"/>
    <col min="35" max="35" width="13.25" customWidth="1"/>
    <col min="36" max="36" width="15.75" customWidth="1"/>
    <col min="37" max="37" width="13.125" customWidth="1"/>
    <col min="38" max="38" width="12.75" customWidth="1"/>
    <col min="39" max="39" width="16.5" customWidth="1"/>
    <col min="40" max="40" width="15.75" customWidth="1"/>
    <col min="41" max="41" width="21.625" customWidth="1"/>
    <col min="42" max="42" width="22.25" customWidth="1"/>
    <col min="43" max="43" width="13.25" customWidth="1"/>
    <col min="44" max="44" width="15.75" customWidth="1"/>
    <col min="45" max="45" width="14.875" customWidth="1"/>
    <col min="46" max="46" width="12.75" customWidth="1"/>
    <col min="47" max="47" width="16.5" customWidth="1"/>
    <col min="48" max="48" width="15.75" customWidth="1"/>
    <col min="49" max="49" width="21.625" customWidth="1"/>
    <col min="50" max="50" width="22.25" customWidth="1"/>
    <col min="51" max="51" width="13.25" customWidth="1"/>
    <col min="52" max="52" width="15.75" customWidth="1"/>
    <col min="53" max="53" width="14.875" customWidth="1"/>
    <col min="54" max="54" width="12.75" customWidth="1"/>
    <col min="55" max="55" width="16.5" customWidth="1"/>
    <col min="56" max="56" width="15.75" customWidth="1"/>
    <col min="57" max="57" width="21.625" customWidth="1"/>
    <col min="58" max="58" width="22.25" customWidth="1"/>
    <col min="59" max="59" width="13.25" customWidth="1"/>
    <col min="60" max="60" width="15.75" customWidth="1"/>
    <col min="61" max="61" width="14.875" customWidth="1"/>
    <col min="68" max="68" width="14.75" customWidth="1"/>
    <col min="69" max="69" width="14" customWidth="1"/>
    <col min="70" max="70" width="19.875" customWidth="1"/>
    <col min="71" max="71" width="20.5" customWidth="1"/>
    <col min="72" max="72" width="11.5" customWidth="1"/>
    <col min="73" max="73" width="14" customWidth="1"/>
    <col min="74" max="74" width="12.75" customWidth="1"/>
    <col min="76" max="77" width="14.375" customWidth="1"/>
    <col min="78" max="78" width="20.25" customWidth="1"/>
    <col min="79" max="79" width="20.875" customWidth="1"/>
    <col min="80" max="80" width="11.875" customWidth="1"/>
    <col min="81" max="81" width="14.375" customWidth="1"/>
    <col min="82" max="82" width="13.125" customWidth="1"/>
    <col min="84" max="84" width="15.875" customWidth="1"/>
    <col min="85" max="85" width="15.125" customWidth="1"/>
    <col min="86" max="86" width="21.375" customWidth="1"/>
    <col min="87" max="87" width="22" customWidth="1"/>
    <col min="88" max="88" width="13" customWidth="1"/>
    <col min="89" max="89" width="15.5" customWidth="1"/>
    <col min="90" max="90" width="14.25" customWidth="1"/>
    <col min="91" max="91" width="12.875" customWidth="1"/>
    <col min="92" max="92" width="17.375" customWidth="1"/>
    <col min="93" max="93" width="15.875" customWidth="1"/>
    <col min="94" max="94" width="22.125" customWidth="1"/>
    <col min="95" max="95" width="22.375" customWidth="1"/>
    <col min="96" max="96" width="13.75" customWidth="1"/>
    <col min="97" max="97" width="15.875" customWidth="1"/>
    <col min="98" max="98" width="13.875" customWidth="1"/>
    <col min="99" max="99" width="12.125" customWidth="1"/>
    <col min="100" max="100" width="16.625" customWidth="1"/>
    <col min="101" max="101" width="15.5" customWidth="1"/>
    <col min="102" max="102" width="23.25" customWidth="1"/>
    <col min="103" max="103" width="23.125" customWidth="1"/>
    <col min="104" max="104" width="14.875" customWidth="1"/>
    <col min="105" max="105" width="16.25" customWidth="1"/>
    <col min="106" max="106" width="15.375" customWidth="1"/>
    <col min="107" max="107" width="13.625" customWidth="1"/>
    <col min="108" max="108" width="17.75" customWidth="1"/>
    <col min="109" max="109" width="17" customWidth="1"/>
    <col min="110" max="110" width="22.875" customWidth="1"/>
    <col min="111" max="111" width="23.5" customWidth="1"/>
    <col min="112" max="112" width="14.5" customWidth="1"/>
    <col min="113" max="113" width="17" customWidth="1"/>
    <col min="114" max="114" width="16.125" customWidth="1"/>
    <col min="115" max="115" width="14" customWidth="1"/>
    <col min="116" max="116" width="18.875" customWidth="1"/>
    <col min="117" max="117" width="18.125" customWidth="1"/>
    <col min="118" max="118" width="24" customWidth="1"/>
    <col min="119" max="119" width="24.625" customWidth="1"/>
    <col min="120" max="120" width="15.625" customWidth="1"/>
    <col min="121" max="121" width="18.125" customWidth="1"/>
    <col min="122" max="122" width="16.875" customWidth="1"/>
  </cols>
  <sheetData>
    <row r="1" spans="1:122">
      <c r="E1" s="85" t="s">
        <v>668</v>
      </c>
    </row>
    <row r="2" spans="1:122" ht="15.75" customHeight="1">
      <c r="A2" s="147" t="s">
        <v>666</v>
      </c>
      <c r="B2" s="147"/>
      <c r="C2" s="147"/>
      <c r="D2" s="147"/>
      <c r="E2" s="147"/>
      <c r="F2" s="135" t="s">
        <v>667</v>
      </c>
      <c r="G2" s="136"/>
      <c r="H2" s="136"/>
      <c r="I2" s="136"/>
      <c r="J2" s="136"/>
      <c r="K2" s="136"/>
      <c r="L2" s="136"/>
      <c r="M2" s="136"/>
      <c r="N2" s="136"/>
      <c r="O2" s="136"/>
      <c r="P2" s="136"/>
      <c r="Q2" s="136"/>
      <c r="R2" s="136"/>
      <c r="S2" s="136"/>
      <c r="T2" s="136"/>
      <c r="U2" s="136"/>
      <c r="V2" s="136"/>
      <c r="W2" s="136"/>
      <c r="X2" s="136"/>
      <c r="Y2" s="136"/>
      <c r="Z2" s="136"/>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7"/>
    </row>
    <row r="3" spans="1:122">
      <c r="A3" s="148" t="s">
        <v>647</v>
      </c>
      <c r="B3" s="148"/>
      <c r="C3" s="148"/>
      <c r="D3" s="148" t="s">
        <v>153</v>
      </c>
      <c r="E3" s="148"/>
      <c r="F3" s="135" t="s">
        <v>644</v>
      </c>
      <c r="G3" s="136"/>
      <c r="H3" s="136"/>
      <c r="I3" s="136"/>
      <c r="J3" s="136"/>
      <c r="K3" s="136"/>
      <c r="L3" s="136"/>
      <c r="M3" s="137"/>
      <c r="N3" s="134" t="s">
        <v>804</v>
      </c>
      <c r="O3" s="134"/>
      <c r="P3" s="134"/>
      <c r="Q3" s="134"/>
      <c r="R3" s="134"/>
      <c r="S3" s="134"/>
      <c r="T3" s="134"/>
      <c r="U3" s="134"/>
      <c r="V3" s="134" t="s">
        <v>634</v>
      </c>
      <c r="W3" s="134"/>
      <c r="X3" s="134"/>
      <c r="Y3" s="134"/>
      <c r="Z3" s="134"/>
      <c r="AA3" s="134"/>
      <c r="AB3" s="134"/>
      <c r="AC3" s="134"/>
      <c r="AD3" s="132" t="s">
        <v>642</v>
      </c>
      <c r="AE3" s="133"/>
      <c r="AF3" s="133"/>
      <c r="AG3" s="133"/>
      <c r="AH3" s="133"/>
      <c r="AI3" s="133"/>
      <c r="AJ3" s="133"/>
      <c r="AK3" s="133"/>
      <c r="AL3" s="132" t="s">
        <v>641</v>
      </c>
      <c r="AM3" s="133"/>
      <c r="AN3" s="133"/>
      <c r="AO3" s="133"/>
      <c r="AP3" s="133"/>
      <c r="AQ3" s="133"/>
      <c r="AR3" s="133"/>
      <c r="AS3" s="133"/>
      <c r="AT3" s="134" t="s">
        <v>887</v>
      </c>
      <c r="AU3" s="134"/>
      <c r="AV3" s="134"/>
      <c r="AW3" s="134"/>
      <c r="AX3" s="134"/>
      <c r="AY3" s="134"/>
      <c r="AZ3" s="134"/>
      <c r="BA3" s="134"/>
      <c r="BB3" s="134" t="s">
        <v>640</v>
      </c>
      <c r="BC3" s="134"/>
      <c r="BD3" s="134"/>
      <c r="BE3" s="134"/>
      <c r="BF3" s="134"/>
      <c r="BG3" s="134"/>
      <c r="BH3" s="134"/>
      <c r="BI3" s="134"/>
    </row>
    <row r="4" spans="1:122" ht="30">
      <c r="A4" s="81" t="s">
        <v>152</v>
      </c>
      <c r="B4" s="81" t="s">
        <v>144</v>
      </c>
      <c r="C4" s="81" t="s">
        <v>145</v>
      </c>
      <c r="D4" s="81" t="s">
        <v>0</v>
      </c>
      <c r="E4" s="81" t="s">
        <v>1</v>
      </c>
      <c r="F4" s="81" t="s">
        <v>358</v>
      </c>
      <c r="G4" s="81" t="s">
        <v>357</v>
      </c>
      <c r="H4" s="81" t="s">
        <v>356</v>
      </c>
      <c r="I4" s="81" t="s">
        <v>886</v>
      </c>
      <c r="J4" s="81" t="s">
        <v>354</v>
      </c>
      <c r="K4" s="81" t="s">
        <v>353</v>
      </c>
      <c r="L4" s="81" t="s">
        <v>352</v>
      </c>
      <c r="M4" s="81" t="s">
        <v>431</v>
      </c>
      <c r="N4" s="107" t="s">
        <v>806</v>
      </c>
      <c r="O4" s="107" t="s">
        <v>805</v>
      </c>
      <c r="P4" s="107" t="s">
        <v>807</v>
      </c>
      <c r="Q4" s="107" t="s">
        <v>808</v>
      </c>
      <c r="R4" s="107" t="s">
        <v>809</v>
      </c>
      <c r="S4" s="81" t="s">
        <v>810</v>
      </c>
      <c r="T4" s="81" t="s">
        <v>811</v>
      </c>
      <c r="U4" s="81" t="s">
        <v>812</v>
      </c>
      <c r="V4" s="107" t="s">
        <v>813</v>
      </c>
      <c r="W4" s="107" t="s">
        <v>814</v>
      </c>
      <c r="X4" s="107" t="s">
        <v>815</v>
      </c>
      <c r="Y4" s="107" t="s">
        <v>816</v>
      </c>
      <c r="Z4" s="107" t="s">
        <v>817</v>
      </c>
      <c r="AA4" s="81" t="s">
        <v>818</v>
      </c>
      <c r="AB4" s="81" t="s">
        <v>819</v>
      </c>
      <c r="AC4" s="81" t="s">
        <v>820</v>
      </c>
      <c r="AD4" s="81" t="s">
        <v>821</v>
      </c>
      <c r="AE4" s="81" t="s">
        <v>822</v>
      </c>
      <c r="AF4" s="81" t="s">
        <v>823</v>
      </c>
      <c r="AG4" s="81" t="s">
        <v>824</v>
      </c>
      <c r="AH4" s="81" t="s">
        <v>825</v>
      </c>
      <c r="AI4" s="81" t="s">
        <v>826</v>
      </c>
      <c r="AJ4" s="81" t="s">
        <v>827</v>
      </c>
      <c r="AK4" s="81" t="s">
        <v>828</v>
      </c>
      <c r="AL4" s="81" t="s">
        <v>829</v>
      </c>
      <c r="AM4" s="81" t="s">
        <v>830</v>
      </c>
      <c r="AN4" s="81" t="s">
        <v>831</v>
      </c>
      <c r="AO4" s="81" t="s">
        <v>832</v>
      </c>
      <c r="AP4" s="81" t="s">
        <v>833</v>
      </c>
      <c r="AQ4" s="81" t="s">
        <v>834</v>
      </c>
      <c r="AR4" s="81" t="s">
        <v>835</v>
      </c>
      <c r="AS4" s="81" t="s">
        <v>836</v>
      </c>
      <c r="AT4" s="81" t="s">
        <v>837</v>
      </c>
      <c r="AU4" s="81" t="s">
        <v>852</v>
      </c>
      <c r="AV4" s="81" t="s">
        <v>851</v>
      </c>
      <c r="AW4" s="81" t="s">
        <v>850</v>
      </c>
      <c r="AX4" s="81" t="s">
        <v>849</v>
      </c>
      <c r="AY4" s="81" t="s">
        <v>848</v>
      </c>
      <c r="AZ4" s="81" t="s">
        <v>847</v>
      </c>
      <c r="BA4" s="81" t="s">
        <v>846</v>
      </c>
      <c r="BB4" s="81" t="s">
        <v>845</v>
      </c>
      <c r="BC4" s="81" t="s">
        <v>844</v>
      </c>
      <c r="BD4" s="81" t="s">
        <v>843</v>
      </c>
      <c r="BE4" s="81" t="s">
        <v>842</v>
      </c>
      <c r="BF4" s="81" t="s">
        <v>841</v>
      </c>
      <c r="BG4" s="81" t="s">
        <v>840</v>
      </c>
      <c r="BH4" s="81" t="s">
        <v>839</v>
      </c>
      <c r="BI4" s="81" t="s">
        <v>838</v>
      </c>
      <c r="BN4" s="148"/>
      <c r="BO4" s="152" t="s">
        <v>644</v>
      </c>
      <c r="BP4" s="153"/>
      <c r="BQ4" s="153"/>
      <c r="BR4" s="153"/>
      <c r="BS4" s="153"/>
      <c r="BT4" s="153"/>
      <c r="BU4" s="153"/>
      <c r="BV4" s="154"/>
      <c r="BW4" s="148" t="s">
        <v>643</v>
      </c>
      <c r="BX4" s="148"/>
      <c r="BY4" s="148"/>
      <c r="BZ4" s="148"/>
      <c r="CA4" s="148"/>
      <c r="CB4" s="148"/>
      <c r="CC4" s="148"/>
      <c r="CD4" s="148"/>
      <c r="CE4" s="148" t="s">
        <v>634</v>
      </c>
      <c r="CF4" s="148"/>
      <c r="CG4" s="148"/>
      <c r="CH4" s="148"/>
      <c r="CI4" s="148"/>
      <c r="CJ4" s="148"/>
      <c r="CK4" s="148"/>
      <c r="CL4" s="148"/>
      <c r="CM4" s="156" t="s">
        <v>642</v>
      </c>
      <c r="CN4" s="157"/>
      <c r="CO4" s="157"/>
      <c r="CP4" s="157"/>
      <c r="CQ4" s="157"/>
      <c r="CR4" s="157"/>
      <c r="CS4" s="157"/>
      <c r="CT4" s="157"/>
      <c r="CU4" s="156" t="s">
        <v>641</v>
      </c>
      <c r="CV4" s="157"/>
      <c r="CW4" s="157"/>
      <c r="CX4" s="157"/>
      <c r="CY4" s="157"/>
      <c r="CZ4" s="157"/>
      <c r="DA4" s="157"/>
      <c r="DB4" s="157"/>
      <c r="DC4" s="148" t="s">
        <v>639</v>
      </c>
      <c r="DD4" s="148"/>
      <c r="DE4" s="148"/>
      <c r="DF4" s="148"/>
      <c r="DG4" s="148"/>
      <c r="DH4" s="148"/>
      <c r="DI4" s="148"/>
      <c r="DJ4" s="148"/>
      <c r="DK4" s="148" t="s">
        <v>640</v>
      </c>
      <c r="DL4" s="148"/>
      <c r="DM4" s="148"/>
      <c r="DN4" s="148"/>
      <c r="DO4" s="148"/>
      <c r="DP4" s="148"/>
      <c r="DQ4" s="148"/>
      <c r="DR4" s="148"/>
    </row>
    <row r="5" spans="1:122">
      <c r="A5">
        <v>22</v>
      </c>
      <c r="B5">
        <v>1</v>
      </c>
      <c r="C5">
        <v>14</v>
      </c>
      <c r="D5" t="s">
        <v>44</v>
      </c>
      <c r="E5" t="s">
        <v>45</v>
      </c>
      <c r="F5">
        <v>2.06185457571724</v>
      </c>
      <c r="G5">
        <v>113430.24227234752</v>
      </c>
      <c r="H5">
        <v>999.79584379962273</v>
      </c>
      <c r="I5">
        <v>3030.76098487533</v>
      </c>
      <c r="J5">
        <v>79.662831551487557</v>
      </c>
      <c r="K5">
        <v>27.472222220833331</v>
      </c>
      <c r="L5">
        <v>1587.5612627073303</v>
      </c>
      <c r="M5">
        <f t="shared" ref="M5:M36" si="0">SUM(F5:L5)</f>
        <v>119157.55727207784</v>
      </c>
      <c r="N5">
        <f t="shared" ref="N5:N36" si="1">F5*BC$94</f>
        <v>0.7216491015010339</v>
      </c>
      <c r="O5">
        <f t="shared" ref="O5:O36" si="2">G5*BD$94</f>
        <v>22686.048454469506</v>
      </c>
      <c r="P5">
        <f t="shared" ref="P5:P36" si="3">H5*BE$94</f>
        <v>349.92854532986792</v>
      </c>
      <c r="Q5">
        <f t="shared" ref="Q5:Q36" si="4">I5*BF$94</f>
        <v>303.07609848753299</v>
      </c>
      <c r="R5">
        <f t="shared" ref="R5:R36" si="5">J5*BG$94</f>
        <v>79.662831551487557</v>
      </c>
      <c r="S5">
        <f t="shared" ref="S5:S36" si="6">K5*BH$94</f>
        <v>21.977777776666667</v>
      </c>
      <c r="T5">
        <f t="shared" ref="T5:T36" si="7">L5*BI$94</f>
        <v>1270.0490101658643</v>
      </c>
      <c r="U5">
        <f t="shared" ref="U5:U36" si="8">SUM(N5:T5)</f>
        <v>24711.464366882428</v>
      </c>
      <c r="V5">
        <f t="shared" ref="V5:V36" si="9">F5*0.1</f>
        <v>0.20618545757172402</v>
      </c>
      <c r="W5">
        <f t="shared" ref="W5:W36" si="10">G5*0.1</f>
        <v>11343.024227234753</v>
      </c>
      <c r="X5">
        <f t="shared" ref="X5:X36" si="11">H5*0.1</f>
        <v>99.979584379962276</v>
      </c>
      <c r="Y5">
        <f t="shared" ref="Y5:Y36" si="12">I5*0.1</f>
        <v>303.07609848753299</v>
      </c>
      <c r="Z5">
        <f t="shared" ref="Z5:Z36" si="13">J5</f>
        <v>79.662831551487557</v>
      </c>
      <c r="AA5">
        <f t="shared" ref="AA5:AA36" si="14">K5*0.1</f>
        <v>2.7472222220833333</v>
      </c>
      <c r="AB5">
        <f t="shared" ref="AB5:AB36" si="15">L5*0.1</f>
        <v>158.75612627073303</v>
      </c>
      <c r="AC5">
        <f t="shared" ref="AC5:AC36" si="16">SUM(V5:AB5)</f>
        <v>11987.452275604124</v>
      </c>
      <c r="AD5" s="92">
        <v>30.674402047852396</v>
      </c>
      <c r="AE5" s="92">
        <v>8263.5038967719884</v>
      </c>
      <c r="AF5" s="92">
        <v>302.9443629875891</v>
      </c>
      <c r="AG5">
        <f>Tableau4[[#This Row],[KUVC rest. à emporter / traiteur]]</f>
        <v>3030.76098487533</v>
      </c>
      <c r="AH5">
        <v>79.662831551487557</v>
      </c>
      <c r="AI5">
        <v>1489.899528038545</v>
      </c>
      <c r="AJ5">
        <v>24.364239340865616</v>
      </c>
      <c r="AK5">
        <f t="shared" ref="AK5:AK36" si="17">SUM(AD5:AJ5)</f>
        <v>13221.810245613658</v>
      </c>
      <c r="AL5" s="92">
        <f>Tableau4[[#This Row],[KUVC Miel Conso]]*BC$94</f>
        <v>10.736040716748338</v>
      </c>
      <c r="AM5" s="92">
        <f>Tableau4[[#This Row],[KUVC ind. Lait.  Conso]]*BD$94</f>
        <v>1652.7007793543978</v>
      </c>
      <c r="AN5" s="92">
        <f>Tableau4[[#This Row],[KUVC fermiers   Conso]]*BE$94</f>
        <v>106.03052704565619</v>
      </c>
      <c r="AO5" s="92">
        <f>Tableau4[[#This Row],[KUVC rest. à emporter  Conso]]*BF$94</f>
        <v>303.07609848753299</v>
      </c>
      <c r="AP5" s="92">
        <f>Tableau4[[#This Row],[KUVC portage domicile  Conso]]*BG$94</f>
        <v>79.662831551487557</v>
      </c>
      <c r="AQ5" s="92">
        <f>Tableau4[[#This Row],[KUVC bière  Conso]]*BH$94</f>
        <v>1191.9196224308359</v>
      </c>
      <c r="AR5" s="92">
        <f>Tableau4[[#This Row],[KUVC cidricole  Conso]]*BI$94</f>
        <v>19.491391472692495</v>
      </c>
      <c r="AS5">
        <f t="shared" ref="AS5:AS36" si="18">SUM(AL5:AR5)</f>
        <v>3363.6172910593518</v>
      </c>
      <c r="AT5">
        <f t="shared" ref="AT5:AT36" si="19">MIN(AL5,N5)</f>
        <v>0.7216491015010339</v>
      </c>
      <c r="AU5">
        <f t="shared" ref="AU5:AU36" si="20">MIN(AM5,O5)</f>
        <v>1652.7007793543978</v>
      </c>
      <c r="AV5">
        <f t="shared" ref="AV5:AV36" si="21">MIN(AN5,P5)</f>
        <v>106.03052704565619</v>
      </c>
      <c r="AW5">
        <f t="shared" ref="AW5:AW36" si="22">MIN(AO5,Q5)</f>
        <v>303.07609848753299</v>
      </c>
      <c r="AX5">
        <f t="shared" ref="AX5:AX36" si="23">MIN(AP5,R5)</f>
        <v>79.662831551487557</v>
      </c>
      <c r="AY5">
        <f t="shared" ref="AY5:AY36" si="24">MIN(AQ5,S5)</f>
        <v>21.977777776666667</v>
      </c>
      <c r="AZ5">
        <f t="shared" ref="AZ5:AZ36" si="25">MIN(AR5,T5)</f>
        <v>19.491391472692495</v>
      </c>
      <c r="BA5">
        <f t="shared" ref="BA5:BA36" si="26">SUM(AT5:AZ5)</f>
        <v>2183.661054789935</v>
      </c>
      <c r="BB5">
        <f t="shared" ref="BB5:BB36" si="27">MIN(F5, AD5)</f>
        <v>2.06185457571724</v>
      </c>
      <c r="BC5">
        <f t="shared" ref="BC5:BC36" si="28">MIN(G5, AE5)</f>
        <v>8263.5038967719884</v>
      </c>
      <c r="BD5">
        <f t="shared" ref="BD5:BD36" si="29">MIN(H5, AF5)</f>
        <v>302.9443629875891</v>
      </c>
      <c r="BE5">
        <f t="shared" ref="BE5:BE36" si="30">MIN(I5, AG5)</f>
        <v>3030.76098487533</v>
      </c>
      <c r="BF5">
        <f t="shared" ref="BF5:BF36" si="31">MIN(J5, AH5)</f>
        <v>79.662831551487557</v>
      </c>
      <c r="BG5">
        <f t="shared" ref="BG5:BG36" si="32">MIN(K5, AI5)</f>
        <v>27.472222220833331</v>
      </c>
      <c r="BH5">
        <f t="shared" ref="BH5:BH36" si="33">MIN(L5, AJ5)</f>
        <v>24.364239340865616</v>
      </c>
      <c r="BI5">
        <f t="shared" ref="BI5:BI36" si="34">SUM(BB5:BH5)</f>
        <v>11730.770392323813</v>
      </c>
      <c r="BN5" s="155"/>
      <c r="BO5" s="81" t="s">
        <v>358</v>
      </c>
      <c r="BP5" s="81" t="s">
        <v>357</v>
      </c>
      <c r="BQ5" s="81" t="s">
        <v>356</v>
      </c>
      <c r="BR5" s="81" t="s">
        <v>355</v>
      </c>
      <c r="BS5" s="81" t="s">
        <v>354</v>
      </c>
      <c r="BT5" s="81" t="s">
        <v>353</v>
      </c>
      <c r="BU5" s="81" t="s">
        <v>352</v>
      </c>
      <c r="BV5" s="81" t="s">
        <v>431</v>
      </c>
      <c r="BW5" s="107" t="s">
        <v>669</v>
      </c>
      <c r="BX5" s="107" t="s">
        <v>670</v>
      </c>
      <c r="BY5" s="107" t="s">
        <v>671</v>
      </c>
      <c r="BZ5" s="107" t="s">
        <v>672</v>
      </c>
      <c r="CA5" s="107" t="s">
        <v>673</v>
      </c>
      <c r="CB5" s="81" t="s">
        <v>674</v>
      </c>
      <c r="CC5" s="81" t="s">
        <v>675</v>
      </c>
      <c r="CD5" s="81" t="s">
        <v>635</v>
      </c>
      <c r="CE5" s="107" t="s">
        <v>676</v>
      </c>
      <c r="CF5" s="107" t="s">
        <v>677</v>
      </c>
      <c r="CG5" s="107" t="s">
        <v>678</v>
      </c>
      <c r="CH5" s="107" t="s">
        <v>679</v>
      </c>
      <c r="CI5" s="107" t="s">
        <v>680</v>
      </c>
      <c r="CJ5" s="81" t="s">
        <v>681</v>
      </c>
      <c r="CK5" s="81" t="s">
        <v>682</v>
      </c>
      <c r="CL5" s="81" t="s">
        <v>683</v>
      </c>
      <c r="CM5" s="81" t="s">
        <v>685</v>
      </c>
      <c r="CN5" s="81" t="s">
        <v>684</v>
      </c>
      <c r="CO5" s="81" t="s">
        <v>686</v>
      </c>
      <c r="CP5" s="81" t="s">
        <v>687</v>
      </c>
      <c r="CQ5" s="81" t="s">
        <v>688</v>
      </c>
      <c r="CR5" s="81" t="s">
        <v>689</v>
      </c>
      <c r="CS5" s="81" t="s">
        <v>690</v>
      </c>
      <c r="CT5" s="81" t="s">
        <v>691</v>
      </c>
      <c r="CU5" s="81" t="s">
        <v>692</v>
      </c>
      <c r="CV5" s="81" t="s">
        <v>693</v>
      </c>
      <c r="CW5" s="81" t="s">
        <v>694</v>
      </c>
      <c r="CX5" s="81" t="s">
        <v>695</v>
      </c>
      <c r="CY5" s="81" t="s">
        <v>697</v>
      </c>
      <c r="CZ5" s="81" t="s">
        <v>696</v>
      </c>
      <c r="DA5" s="81" t="s">
        <v>698</v>
      </c>
      <c r="DB5" s="81" t="s">
        <v>699</v>
      </c>
      <c r="DC5" s="81" t="s">
        <v>700</v>
      </c>
      <c r="DD5" s="81" t="s">
        <v>701</v>
      </c>
      <c r="DE5" s="81" t="s">
        <v>702</v>
      </c>
      <c r="DF5" s="81" t="s">
        <v>703</v>
      </c>
      <c r="DG5" s="81" t="s">
        <v>704</v>
      </c>
      <c r="DH5" s="81" t="s">
        <v>705</v>
      </c>
      <c r="DI5" s="81" t="s">
        <v>706</v>
      </c>
      <c r="DJ5" s="81" t="s">
        <v>707</v>
      </c>
      <c r="DK5" s="81" t="s">
        <v>708</v>
      </c>
      <c r="DL5" s="81" t="s">
        <v>709</v>
      </c>
      <c r="DM5" s="81" t="s">
        <v>710</v>
      </c>
      <c r="DN5" s="81" t="s">
        <v>711</v>
      </c>
      <c r="DO5" s="81" t="s">
        <v>712</v>
      </c>
      <c r="DP5" s="81" t="s">
        <v>713</v>
      </c>
      <c r="DQ5" s="81" t="s">
        <v>714</v>
      </c>
      <c r="DR5" s="81" t="s">
        <v>715</v>
      </c>
    </row>
    <row r="6" spans="1:122">
      <c r="A6">
        <v>36</v>
      </c>
      <c r="B6">
        <v>1</v>
      </c>
      <c r="C6">
        <v>14</v>
      </c>
      <c r="D6" t="s">
        <v>72</v>
      </c>
      <c r="E6" t="s">
        <v>73</v>
      </c>
      <c r="F6">
        <v>2.0618545757172426</v>
      </c>
      <c r="G6">
        <v>113430.24227234752</v>
      </c>
      <c r="H6">
        <v>342.76160343914336</v>
      </c>
      <c r="I6">
        <v>2387.3095833350835</v>
      </c>
      <c r="J6">
        <v>32.869400003015819</v>
      </c>
      <c r="K6">
        <v>27.472222220833331</v>
      </c>
      <c r="L6">
        <v>1587.5612627073303</v>
      </c>
      <c r="M6">
        <f t="shared" si="0"/>
        <v>117810.27819862864</v>
      </c>
      <c r="N6">
        <f t="shared" si="1"/>
        <v>0.7216491015010349</v>
      </c>
      <c r="O6">
        <f t="shared" si="2"/>
        <v>22686.048454469506</v>
      </c>
      <c r="P6">
        <f t="shared" si="3"/>
        <v>119.96656120370017</v>
      </c>
      <c r="Q6">
        <f t="shared" si="4"/>
        <v>238.73095833350837</v>
      </c>
      <c r="R6">
        <f t="shared" si="5"/>
        <v>32.869400003015819</v>
      </c>
      <c r="S6">
        <f t="shared" si="6"/>
        <v>21.977777776666667</v>
      </c>
      <c r="T6">
        <f t="shared" si="7"/>
        <v>1270.0490101658643</v>
      </c>
      <c r="U6">
        <f t="shared" si="8"/>
        <v>24370.363811053761</v>
      </c>
      <c r="V6">
        <f t="shared" si="9"/>
        <v>0.20618545757172427</v>
      </c>
      <c r="W6">
        <f t="shared" si="10"/>
        <v>11343.024227234753</v>
      </c>
      <c r="X6">
        <f t="shared" si="11"/>
        <v>34.276160343914334</v>
      </c>
      <c r="Y6">
        <f t="shared" si="12"/>
        <v>238.73095833350837</v>
      </c>
      <c r="Z6">
        <f t="shared" si="13"/>
        <v>32.869400003015819</v>
      </c>
      <c r="AA6">
        <f t="shared" si="14"/>
        <v>2.7472222220833333</v>
      </c>
      <c r="AB6">
        <f t="shared" si="15"/>
        <v>158.75612627073303</v>
      </c>
      <c r="AC6">
        <f t="shared" si="16"/>
        <v>11810.610279865579</v>
      </c>
      <c r="AD6" s="92">
        <v>24.928426927341253</v>
      </c>
      <c r="AE6" s="92">
        <v>6715.5719199717087</v>
      </c>
      <c r="AF6" s="92">
        <v>246.19636933769638</v>
      </c>
      <c r="AG6">
        <f>Tableau4[[#This Row],[KUVC rest. à emporter / traiteur]]</f>
        <v>2387.3095833350835</v>
      </c>
      <c r="AH6">
        <v>32.869400003015819</v>
      </c>
      <c r="AI6">
        <v>1210.8093078994323</v>
      </c>
      <c r="AJ6">
        <v>19.80029338800248</v>
      </c>
      <c r="AK6">
        <f t="shared" si="17"/>
        <v>10637.485300862278</v>
      </c>
      <c r="AL6" s="92">
        <f>Tableau4[[#This Row],[KUVC Miel Conso]]*BC$94</f>
        <v>8.7249494245694379</v>
      </c>
      <c r="AM6" s="92">
        <f>Tableau4[[#This Row],[KUVC ind. Lait.  Conso]]*BD$94</f>
        <v>1343.1143839943418</v>
      </c>
      <c r="AN6" s="92">
        <f>Tableau4[[#This Row],[KUVC fermiers   Conso]]*BE$94</f>
        <v>86.168729268193729</v>
      </c>
      <c r="AO6" s="92">
        <f>Tableau4[[#This Row],[KUVC rest. à emporter  Conso]]*BF$94</f>
        <v>238.73095833350837</v>
      </c>
      <c r="AP6" s="92">
        <f>Tableau4[[#This Row],[KUVC portage domicile  Conso]]*BG$94</f>
        <v>32.869400003015819</v>
      </c>
      <c r="AQ6" s="92">
        <f>Tableau4[[#This Row],[KUVC bière  Conso]]*BH$94</f>
        <v>968.64744631954591</v>
      </c>
      <c r="AR6" s="92">
        <f>Tableau4[[#This Row],[KUVC cidricole  Conso]]*BI$94</f>
        <v>15.840234710401985</v>
      </c>
      <c r="AS6">
        <f t="shared" si="18"/>
        <v>2694.0961020535769</v>
      </c>
      <c r="AT6">
        <f t="shared" si="19"/>
        <v>0.7216491015010349</v>
      </c>
      <c r="AU6">
        <f t="shared" si="20"/>
        <v>1343.1143839943418</v>
      </c>
      <c r="AV6">
        <f t="shared" si="21"/>
        <v>86.168729268193729</v>
      </c>
      <c r="AW6">
        <f t="shared" si="22"/>
        <v>238.73095833350837</v>
      </c>
      <c r="AX6">
        <f t="shared" si="23"/>
        <v>32.869400003015819</v>
      </c>
      <c r="AY6">
        <f t="shared" si="24"/>
        <v>21.977777776666667</v>
      </c>
      <c r="AZ6">
        <f t="shared" si="25"/>
        <v>15.840234710401985</v>
      </c>
      <c r="BA6">
        <f t="shared" si="26"/>
        <v>1739.4231331876297</v>
      </c>
      <c r="BB6">
        <f t="shared" si="27"/>
        <v>2.0618545757172426</v>
      </c>
      <c r="BC6">
        <f t="shared" si="28"/>
        <v>6715.5719199717087</v>
      </c>
      <c r="BD6">
        <f t="shared" si="29"/>
        <v>246.19636933769638</v>
      </c>
      <c r="BE6">
        <f t="shared" si="30"/>
        <v>2387.3095833350835</v>
      </c>
      <c r="BF6">
        <f t="shared" si="31"/>
        <v>32.869400003015819</v>
      </c>
      <c r="BG6">
        <f t="shared" si="32"/>
        <v>27.472222220833331</v>
      </c>
      <c r="BH6">
        <f t="shared" si="33"/>
        <v>19.80029338800248</v>
      </c>
      <c r="BI6">
        <f t="shared" si="34"/>
        <v>9431.2816428320548</v>
      </c>
      <c r="BN6" s="53" t="s">
        <v>181</v>
      </c>
      <c r="BO6">
        <f>SUM(F$5:F$20)</f>
        <v>278.35036772182775</v>
      </c>
      <c r="BP6">
        <f t="shared" ref="BP6:DR6" si="35">SUM(G$5:G$20)</f>
        <v>786922.30576441076</v>
      </c>
      <c r="BQ6">
        <f t="shared" si="35"/>
        <v>9188.7603395476581</v>
      </c>
      <c r="BR6">
        <f t="shared" si="35"/>
        <v>201356.95688195838</v>
      </c>
      <c r="BS6">
        <f t="shared" si="35"/>
        <v>1906.180918919734</v>
      </c>
      <c r="BT6">
        <f t="shared" si="35"/>
        <v>1771.9583332437505</v>
      </c>
      <c r="BU6">
        <f t="shared" si="35"/>
        <v>31092.237560192614</v>
      </c>
      <c r="BV6">
        <f t="shared" si="35"/>
        <v>1032516.7501659949</v>
      </c>
      <c r="BW6">
        <f t="shared" si="35"/>
        <v>97.422628702639699</v>
      </c>
      <c r="BX6">
        <f t="shared" si="35"/>
        <v>157384.4611528822</v>
      </c>
      <c r="BY6">
        <f t="shared" si="35"/>
        <v>3216.0661188416802</v>
      </c>
      <c r="BZ6">
        <f t="shared" si="35"/>
        <v>20135.695688195832</v>
      </c>
      <c r="CA6">
        <f t="shared" si="35"/>
        <v>1906.180918919734</v>
      </c>
      <c r="CB6">
        <f t="shared" si="35"/>
        <v>1417.566666595</v>
      </c>
      <c r="CC6">
        <f t="shared" si="35"/>
        <v>24873.790048154096</v>
      </c>
      <c r="CD6">
        <f t="shared" si="35"/>
        <v>209031.18322229118</v>
      </c>
      <c r="CE6">
        <f t="shared" si="35"/>
        <v>27.835036772182775</v>
      </c>
      <c r="CF6">
        <f t="shared" si="35"/>
        <v>78692.230576441099</v>
      </c>
      <c r="CG6">
        <f t="shared" si="35"/>
        <v>918.87603395476572</v>
      </c>
      <c r="CH6">
        <f t="shared" si="35"/>
        <v>20135.695688195832</v>
      </c>
      <c r="CI6">
        <f t="shared" si="35"/>
        <v>1906.180918919734</v>
      </c>
      <c r="CJ6">
        <f t="shared" si="35"/>
        <v>177.195833324375</v>
      </c>
      <c r="CK6">
        <f t="shared" si="35"/>
        <v>3109.2237560192621</v>
      </c>
      <c r="CL6">
        <f t="shared" si="35"/>
        <v>104967.23784362726</v>
      </c>
      <c r="CM6">
        <f t="shared" si="35"/>
        <v>814.0867729377967</v>
      </c>
      <c r="CN6">
        <f t="shared" si="35"/>
        <v>219310.19910306632</v>
      </c>
      <c r="CO6">
        <f t="shared" si="35"/>
        <v>8040.0262883536716</v>
      </c>
      <c r="CP6">
        <f t="shared" si="35"/>
        <v>201356.95688195838</v>
      </c>
      <c r="CQ6">
        <f t="shared" si="35"/>
        <v>1906.180918919734</v>
      </c>
      <c r="CR6">
        <f t="shared" si="35"/>
        <v>39541.357542692989</v>
      </c>
      <c r="CS6">
        <f t="shared" si="35"/>
        <v>646.61749393344996</v>
      </c>
      <c r="CT6">
        <f t="shared" si="35"/>
        <v>471615.42500186234</v>
      </c>
      <c r="CU6">
        <f t="shared" si="35"/>
        <v>284.93037052822882</v>
      </c>
      <c r="CV6">
        <f t="shared" si="35"/>
        <v>43862.039820613281</v>
      </c>
      <c r="CW6">
        <f t="shared" si="35"/>
        <v>2814.0092009237842</v>
      </c>
      <c r="CX6">
        <f t="shared" si="35"/>
        <v>20135.695688195832</v>
      </c>
      <c r="CY6">
        <f t="shared" si="35"/>
        <v>1906.180918919734</v>
      </c>
      <c r="CZ6">
        <f t="shared" si="35"/>
        <v>31633.086034154392</v>
      </c>
      <c r="DA6">
        <f t="shared" si="35"/>
        <v>517.29399514675993</v>
      </c>
      <c r="DB6">
        <f t="shared" si="35"/>
        <v>101153.23602848202</v>
      </c>
      <c r="DC6">
        <f t="shared" si="35"/>
        <v>60.609069248940692</v>
      </c>
      <c r="DD6">
        <f t="shared" si="35"/>
        <v>31205.970476810784</v>
      </c>
      <c r="DE6">
        <f t="shared" si="35"/>
        <v>1900.0703548079964</v>
      </c>
      <c r="DF6">
        <f t="shared" si="35"/>
        <v>20135.695688195832</v>
      </c>
      <c r="DG6">
        <f t="shared" si="35"/>
        <v>1906.180918919734</v>
      </c>
      <c r="DH6">
        <f t="shared" si="35"/>
        <v>1417.566666595</v>
      </c>
      <c r="DI6">
        <f t="shared" si="35"/>
        <v>517.29399514675993</v>
      </c>
      <c r="DJ6">
        <f t="shared" si="35"/>
        <v>57143.387169725051</v>
      </c>
      <c r="DK6">
        <f t="shared" si="35"/>
        <v>173.16876928268772</v>
      </c>
      <c r="DL6">
        <f t="shared" si="35"/>
        <v>156029.8523840539</v>
      </c>
      <c r="DM6">
        <f t="shared" si="35"/>
        <v>5428.772442308561</v>
      </c>
      <c r="DN6">
        <f t="shared" si="35"/>
        <v>201356.95688195838</v>
      </c>
      <c r="DO6">
        <f t="shared" si="35"/>
        <v>1906.180918919734</v>
      </c>
      <c r="DP6">
        <f t="shared" si="35"/>
        <v>1771.9583332437505</v>
      </c>
      <c r="DQ6">
        <f t="shared" si="35"/>
        <v>646.61749393344996</v>
      </c>
      <c r="DR6">
        <f t="shared" si="35"/>
        <v>367313.50722370041</v>
      </c>
    </row>
    <row r="7" spans="1:122">
      <c r="A7">
        <v>58</v>
      </c>
      <c r="B7">
        <v>1</v>
      </c>
      <c r="C7">
        <v>14</v>
      </c>
      <c r="D7" t="s">
        <v>116</v>
      </c>
      <c r="E7" t="s">
        <v>117</v>
      </c>
      <c r="F7">
        <v>2.0618545757172426</v>
      </c>
      <c r="G7">
        <v>113430.24227234752</v>
      </c>
      <c r="H7">
        <v>405.02221785681871</v>
      </c>
      <c r="I7">
        <v>5109.8561748665843</v>
      </c>
      <c r="J7">
        <v>99.992460455086942</v>
      </c>
      <c r="K7">
        <v>27.472222220833331</v>
      </c>
      <c r="L7">
        <v>1587.5612627073303</v>
      </c>
      <c r="M7">
        <f t="shared" si="0"/>
        <v>120662.20846502989</v>
      </c>
      <c r="N7">
        <f t="shared" si="1"/>
        <v>0.7216491015010349</v>
      </c>
      <c r="O7">
        <f t="shared" si="2"/>
        <v>22686.048454469506</v>
      </c>
      <c r="P7">
        <f t="shared" si="3"/>
        <v>141.75777624988655</v>
      </c>
      <c r="Q7">
        <f t="shared" si="4"/>
        <v>510.98561748665844</v>
      </c>
      <c r="R7">
        <f t="shared" si="5"/>
        <v>99.992460455086942</v>
      </c>
      <c r="S7">
        <f t="shared" si="6"/>
        <v>21.977777776666667</v>
      </c>
      <c r="T7">
        <f t="shared" si="7"/>
        <v>1270.0490101658643</v>
      </c>
      <c r="U7">
        <f t="shared" si="8"/>
        <v>24731.532745705172</v>
      </c>
      <c r="V7">
        <f t="shared" si="9"/>
        <v>0.20618545757172427</v>
      </c>
      <c r="W7">
        <f t="shared" si="10"/>
        <v>11343.024227234753</v>
      </c>
      <c r="X7">
        <f t="shared" si="11"/>
        <v>40.502221785681876</v>
      </c>
      <c r="Y7">
        <f t="shared" si="12"/>
        <v>510.98561748665844</v>
      </c>
      <c r="Z7">
        <f t="shared" si="13"/>
        <v>99.992460455086942</v>
      </c>
      <c r="AA7">
        <f t="shared" si="14"/>
        <v>2.7472222220833333</v>
      </c>
      <c r="AB7">
        <f t="shared" si="15"/>
        <v>158.75612627073303</v>
      </c>
      <c r="AC7">
        <f t="shared" si="16"/>
        <v>12156.214060912569</v>
      </c>
      <c r="AD7" s="92">
        <v>34.546120015689731</v>
      </c>
      <c r="AE7" s="92">
        <v>9306.5219958539219</v>
      </c>
      <c r="AF7" s="92">
        <v>341.1819505240739</v>
      </c>
      <c r="AG7">
        <f>Tableau4[[#This Row],[KUVC rest. à emporter / traiteur]]</f>
        <v>5109.8561748665843</v>
      </c>
      <c r="AH7">
        <v>99.992460455086942</v>
      </c>
      <c r="AI7">
        <v>1677.9544007620727</v>
      </c>
      <c r="AJ7">
        <v>27.439489612462125</v>
      </c>
      <c r="AK7">
        <f t="shared" si="17"/>
        <v>16597.49259208989</v>
      </c>
      <c r="AL7" s="92">
        <f>Tableau4[[#This Row],[KUVC Miel Conso]]*BC$94</f>
        <v>12.091142005491404</v>
      </c>
      <c r="AM7" s="92">
        <f>Tableau4[[#This Row],[KUVC ind. Lait.  Conso]]*BD$94</f>
        <v>1861.3043991707846</v>
      </c>
      <c r="AN7" s="92">
        <f>Tableau4[[#This Row],[KUVC fermiers   Conso]]*BE$94</f>
        <v>119.41368268342586</v>
      </c>
      <c r="AO7" s="92">
        <f>Tableau4[[#This Row],[KUVC rest. à emporter  Conso]]*BF$94</f>
        <v>510.98561748665844</v>
      </c>
      <c r="AP7" s="92">
        <f>Tableau4[[#This Row],[KUVC portage domicile  Conso]]*BG$94</f>
        <v>99.992460455086942</v>
      </c>
      <c r="AQ7" s="92">
        <f>Tableau4[[#This Row],[KUVC bière  Conso]]*BH$94</f>
        <v>1342.3635206096583</v>
      </c>
      <c r="AR7" s="92">
        <f>Tableau4[[#This Row],[KUVC cidricole  Conso]]*BI$94</f>
        <v>21.951591689969703</v>
      </c>
      <c r="AS7">
        <f t="shared" si="18"/>
        <v>3968.1024141010748</v>
      </c>
      <c r="AT7">
        <f t="shared" si="19"/>
        <v>0.7216491015010349</v>
      </c>
      <c r="AU7">
        <f t="shared" si="20"/>
        <v>1861.3043991707846</v>
      </c>
      <c r="AV7">
        <f t="shared" si="21"/>
        <v>119.41368268342586</v>
      </c>
      <c r="AW7">
        <f t="shared" si="22"/>
        <v>510.98561748665844</v>
      </c>
      <c r="AX7">
        <f t="shared" si="23"/>
        <v>99.992460455086942</v>
      </c>
      <c r="AY7">
        <f t="shared" si="24"/>
        <v>21.977777776666667</v>
      </c>
      <c r="AZ7">
        <f t="shared" si="25"/>
        <v>21.951591689969703</v>
      </c>
      <c r="BA7">
        <f t="shared" si="26"/>
        <v>2636.347178364093</v>
      </c>
      <c r="BB7">
        <f t="shared" si="27"/>
        <v>2.0618545757172426</v>
      </c>
      <c r="BC7">
        <f t="shared" si="28"/>
        <v>9306.5219958539219</v>
      </c>
      <c r="BD7">
        <f t="shared" si="29"/>
        <v>341.1819505240739</v>
      </c>
      <c r="BE7">
        <f t="shared" si="30"/>
        <v>5109.8561748665843</v>
      </c>
      <c r="BF7">
        <f t="shared" si="31"/>
        <v>99.992460455086942</v>
      </c>
      <c r="BG7">
        <f t="shared" si="32"/>
        <v>27.472222220833331</v>
      </c>
      <c r="BH7">
        <f t="shared" si="33"/>
        <v>27.439489612462125</v>
      </c>
      <c r="BI7">
        <f t="shared" si="34"/>
        <v>14914.526148108678</v>
      </c>
      <c r="BN7" s="53" t="s">
        <v>205</v>
      </c>
      <c r="BO7">
        <f>SUM(F$21:F$33)</f>
        <v>242.1626911595786</v>
      </c>
      <c r="BP7">
        <f t="shared" ref="BP7:DR7" si="36">SUM(G$21:G$33)</f>
        <v>148877.19298245609</v>
      </c>
      <c r="BQ7">
        <f t="shared" si="36"/>
        <v>4798.0551686413164</v>
      </c>
      <c r="BR7">
        <f t="shared" si="36"/>
        <v>92751.318530706572</v>
      </c>
      <c r="BS7">
        <f t="shared" si="36"/>
        <v>1344.1983201893931</v>
      </c>
      <c r="BT7">
        <f t="shared" si="36"/>
        <v>6593.3333329999996</v>
      </c>
      <c r="BU7">
        <f t="shared" si="36"/>
        <v>11951.6404494382</v>
      </c>
      <c r="BV7">
        <f t="shared" si="36"/>
        <v>266557.90147559124</v>
      </c>
      <c r="BW7">
        <f t="shared" si="36"/>
        <v>84.756941905852514</v>
      </c>
      <c r="BX7">
        <f t="shared" si="36"/>
        <v>29775.438596491225</v>
      </c>
      <c r="BY7">
        <f t="shared" si="36"/>
        <v>1679.3193090244606</v>
      </c>
      <c r="BZ7">
        <f t="shared" si="36"/>
        <v>9275.1318530706576</v>
      </c>
      <c r="CA7">
        <f t="shared" si="36"/>
        <v>1344.1983201893931</v>
      </c>
      <c r="CB7">
        <f t="shared" si="36"/>
        <v>5274.6666664000013</v>
      </c>
      <c r="CC7">
        <f t="shared" si="36"/>
        <v>9561.312359550564</v>
      </c>
      <c r="CD7">
        <f t="shared" si="36"/>
        <v>56994.824046632159</v>
      </c>
      <c r="CE7">
        <f t="shared" si="36"/>
        <v>24.216269115957861</v>
      </c>
      <c r="CF7">
        <f t="shared" si="36"/>
        <v>14887.719298245613</v>
      </c>
      <c r="CG7">
        <f t="shared" si="36"/>
        <v>479.80551686413168</v>
      </c>
      <c r="CH7">
        <f t="shared" si="36"/>
        <v>9275.1318530706576</v>
      </c>
      <c r="CI7">
        <f t="shared" si="36"/>
        <v>1344.1983201893931</v>
      </c>
      <c r="CJ7">
        <f t="shared" si="36"/>
        <v>659.33333330000016</v>
      </c>
      <c r="CK7">
        <f t="shared" si="36"/>
        <v>1195.1640449438205</v>
      </c>
      <c r="CL7">
        <f t="shared" si="36"/>
        <v>27865.568635729582</v>
      </c>
      <c r="CM7">
        <f t="shared" si="36"/>
        <v>583.88497446898373</v>
      </c>
      <c r="CN7">
        <f t="shared" si="36"/>
        <v>157295.18555126549</v>
      </c>
      <c r="CO7">
        <f t="shared" si="36"/>
        <v>5766.5235453518872</v>
      </c>
      <c r="CP7">
        <f t="shared" si="36"/>
        <v>92751.318530706572</v>
      </c>
      <c r="CQ7">
        <f t="shared" si="36"/>
        <v>1344.1983201893931</v>
      </c>
      <c r="CR7">
        <f t="shared" si="36"/>
        <v>28360.127331350643</v>
      </c>
      <c r="CS7">
        <f t="shared" si="36"/>
        <v>463.77149400679281</v>
      </c>
      <c r="CT7">
        <f t="shared" si="36"/>
        <v>286565.00974733976</v>
      </c>
      <c r="CU7">
        <f t="shared" si="36"/>
        <v>204.35974106414429</v>
      </c>
      <c r="CV7">
        <f t="shared" si="36"/>
        <v>31459.037110253099</v>
      </c>
      <c r="CW7">
        <f t="shared" si="36"/>
        <v>2018.2832408731606</v>
      </c>
      <c r="CX7">
        <f t="shared" si="36"/>
        <v>9275.1318530706576</v>
      </c>
      <c r="CY7">
        <f t="shared" si="36"/>
        <v>1344.1983201893931</v>
      </c>
      <c r="CZ7">
        <f t="shared" si="36"/>
        <v>22688.101865080509</v>
      </c>
      <c r="DA7">
        <f t="shared" si="36"/>
        <v>371.01719520543429</v>
      </c>
      <c r="DB7">
        <f t="shared" si="36"/>
        <v>67360.129325736416</v>
      </c>
      <c r="DC7">
        <f t="shared" si="36"/>
        <v>77.598886827650645</v>
      </c>
      <c r="DD7">
        <f t="shared" si="36"/>
        <v>17381.569636228509</v>
      </c>
      <c r="DE7">
        <f t="shared" si="36"/>
        <v>1431.4987876175992</v>
      </c>
      <c r="DF7">
        <f t="shared" si="36"/>
        <v>9275.1318530706576</v>
      </c>
      <c r="DG7">
        <f t="shared" si="36"/>
        <v>1344.1983201893931</v>
      </c>
      <c r="DH7">
        <f t="shared" si="36"/>
        <v>4873.8030829937134</v>
      </c>
      <c r="DI7">
        <f t="shared" si="36"/>
        <v>371.01719520543429</v>
      </c>
      <c r="DJ7">
        <f t="shared" si="36"/>
        <v>34754.817762132952</v>
      </c>
      <c r="DK7">
        <f t="shared" si="36"/>
        <v>221.71110522185899</v>
      </c>
      <c r="DL7">
        <f t="shared" si="36"/>
        <v>86907.848181142544</v>
      </c>
      <c r="DM7">
        <f t="shared" si="36"/>
        <v>4089.9965360502833</v>
      </c>
      <c r="DN7">
        <f t="shared" si="36"/>
        <v>92751.318530706572</v>
      </c>
      <c r="DO7">
        <f t="shared" si="36"/>
        <v>1344.1983201893931</v>
      </c>
      <c r="DP7">
        <f t="shared" si="36"/>
        <v>6092.2538537421397</v>
      </c>
      <c r="DQ7">
        <f t="shared" si="36"/>
        <v>463.77149400679281</v>
      </c>
      <c r="DR7">
        <f t="shared" si="36"/>
        <v>191871.09802105956</v>
      </c>
    </row>
    <row r="8" spans="1:122">
      <c r="A8">
        <v>12</v>
      </c>
      <c r="B8">
        <v>2</v>
      </c>
      <c r="C8">
        <v>14</v>
      </c>
      <c r="D8" t="s">
        <v>24</v>
      </c>
      <c r="E8" t="s">
        <v>25</v>
      </c>
      <c r="F8">
        <v>2.0618545757172426</v>
      </c>
      <c r="G8">
        <v>8861.7376775271496</v>
      </c>
      <c r="H8">
        <v>142.13626516240654</v>
      </c>
      <c r="I8">
        <v>2834.6567915779328</v>
      </c>
      <c r="J8">
        <v>31.973702067343215</v>
      </c>
      <c r="K8">
        <v>171.70138888020833</v>
      </c>
      <c r="L8">
        <v>748.84965222043877</v>
      </c>
      <c r="M8">
        <f t="shared" si="0"/>
        <v>12793.117332011196</v>
      </c>
      <c r="N8">
        <f t="shared" si="1"/>
        <v>0.7216491015010349</v>
      </c>
      <c r="O8">
        <f t="shared" si="2"/>
        <v>1772.34753550543</v>
      </c>
      <c r="P8">
        <f t="shared" si="3"/>
        <v>49.747692806842288</v>
      </c>
      <c r="Q8">
        <f t="shared" si="4"/>
        <v>283.46567915779332</v>
      </c>
      <c r="R8">
        <f t="shared" si="5"/>
        <v>31.973702067343215</v>
      </c>
      <c r="S8">
        <f t="shared" si="6"/>
        <v>137.36111110416667</v>
      </c>
      <c r="T8">
        <f t="shared" si="7"/>
        <v>599.07972177635099</v>
      </c>
      <c r="U8">
        <f t="shared" si="8"/>
        <v>2874.6970915194279</v>
      </c>
      <c r="V8">
        <f t="shared" si="9"/>
        <v>0.20618545757172427</v>
      </c>
      <c r="W8">
        <f t="shared" si="10"/>
        <v>886.17376775271498</v>
      </c>
      <c r="X8">
        <f t="shared" si="11"/>
        <v>14.213626516240655</v>
      </c>
      <c r="Y8">
        <f t="shared" si="12"/>
        <v>283.46567915779332</v>
      </c>
      <c r="Z8">
        <f t="shared" si="13"/>
        <v>31.973702067343215</v>
      </c>
      <c r="AA8">
        <f t="shared" si="14"/>
        <v>17.170138888020833</v>
      </c>
      <c r="AB8">
        <f t="shared" si="15"/>
        <v>74.884965222043874</v>
      </c>
      <c r="AC8">
        <f t="shared" si="16"/>
        <v>1308.0880650617285</v>
      </c>
      <c r="AD8" s="92">
        <v>22.241880234825484</v>
      </c>
      <c r="AE8" s="92">
        <v>5991.8320071991211</v>
      </c>
      <c r="AF8" s="92">
        <v>219.66368664249822</v>
      </c>
      <c r="AG8">
        <f>Tableau4[[#This Row],[KUVC rest. à emporter / traiteur]]</f>
        <v>2834.6567915779328</v>
      </c>
      <c r="AH8">
        <v>31.973702067343215</v>
      </c>
      <c r="AI8">
        <v>1080.319897120095</v>
      </c>
      <c r="AJ8">
        <v>17.66640772937567</v>
      </c>
      <c r="AK8">
        <f t="shared" si="17"/>
        <v>10198.354372571192</v>
      </c>
      <c r="AL8" s="92">
        <f>Tableau4[[#This Row],[KUVC Miel Conso]]*BC$94</f>
        <v>7.7846580821889191</v>
      </c>
      <c r="AM8" s="92">
        <f>Tableau4[[#This Row],[KUVC ind. Lait.  Conso]]*BD$94</f>
        <v>1198.3664014398244</v>
      </c>
      <c r="AN8" s="92">
        <f>Tableau4[[#This Row],[KUVC fermiers   Conso]]*BE$94</f>
        <v>76.882290324874376</v>
      </c>
      <c r="AO8" s="92">
        <f>Tableau4[[#This Row],[KUVC rest. à emporter  Conso]]*BF$94</f>
        <v>283.46567915779332</v>
      </c>
      <c r="AP8" s="92">
        <f>Tableau4[[#This Row],[KUVC portage domicile  Conso]]*BG$94</f>
        <v>31.973702067343215</v>
      </c>
      <c r="AQ8" s="92">
        <f>Tableau4[[#This Row],[KUVC bière  Conso]]*BH$94</f>
        <v>864.25591769607604</v>
      </c>
      <c r="AR8" s="92">
        <f>Tableau4[[#This Row],[KUVC cidricole  Conso]]*BI$94</f>
        <v>14.133126183500536</v>
      </c>
      <c r="AS8">
        <f t="shared" si="18"/>
        <v>2476.8617749516011</v>
      </c>
      <c r="AT8">
        <f t="shared" si="19"/>
        <v>0.7216491015010349</v>
      </c>
      <c r="AU8">
        <f t="shared" si="20"/>
        <v>1198.3664014398244</v>
      </c>
      <c r="AV8">
        <f t="shared" si="21"/>
        <v>49.747692806842288</v>
      </c>
      <c r="AW8">
        <f t="shared" si="22"/>
        <v>283.46567915779332</v>
      </c>
      <c r="AX8">
        <f t="shared" si="23"/>
        <v>31.973702067343215</v>
      </c>
      <c r="AY8">
        <f t="shared" si="24"/>
        <v>137.36111110416667</v>
      </c>
      <c r="AZ8">
        <f t="shared" si="25"/>
        <v>14.133126183500536</v>
      </c>
      <c r="BA8">
        <f t="shared" si="26"/>
        <v>1715.7693618609715</v>
      </c>
      <c r="BB8">
        <f t="shared" si="27"/>
        <v>2.0618545757172426</v>
      </c>
      <c r="BC8">
        <f t="shared" si="28"/>
        <v>5991.8320071991211</v>
      </c>
      <c r="BD8">
        <f t="shared" si="29"/>
        <v>142.13626516240654</v>
      </c>
      <c r="BE8">
        <f t="shared" si="30"/>
        <v>2834.6567915779328</v>
      </c>
      <c r="BF8">
        <f t="shared" si="31"/>
        <v>31.973702067343215</v>
      </c>
      <c r="BG8">
        <f t="shared" si="32"/>
        <v>171.70138888020833</v>
      </c>
      <c r="BH8">
        <f t="shared" si="33"/>
        <v>17.66640772937567</v>
      </c>
      <c r="BI8">
        <f t="shared" si="34"/>
        <v>9192.0284171921048</v>
      </c>
      <c r="BN8" s="53" t="s">
        <v>200</v>
      </c>
      <c r="BO8">
        <f>SUM(F$34:F$41)</f>
        <v>227.62874515918367</v>
      </c>
      <c r="BP8">
        <f t="shared" ref="BP8:DR8" si="37">SUM(G$34:G$41)</f>
        <v>914531.32832080196</v>
      </c>
      <c r="BQ8">
        <f t="shared" si="37"/>
        <v>12531.222219244986</v>
      </c>
      <c r="BR8">
        <f t="shared" si="37"/>
        <v>70589.299304122411</v>
      </c>
      <c r="BS8">
        <f t="shared" si="37"/>
        <v>1634.2144548155075</v>
      </c>
      <c r="BT8">
        <f t="shared" si="37"/>
        <v>2266.4583332187503</v>
      </c>
      <c r="BU8">
        <f t="shared" si="37"/>
        <v>28755.826645264853</v>
      </c>
      <c r="BV8">
        <f t="shared" si="37"/>
        <v>1030535.9780226276</v>
      </c>
      <c r="BW8">
        <f t="shared" si="37"/>
        <v>79.670060805714257</v>
      </c>
      <c r="BX8">
        <f t="shared" si="37"/>
        <v>182906.2656641604</v>
      </c>
      <c r="BY8">
        <f t="shared" si="37"/>
        <v>4385.9277767357453</v>
      </c>
      <c r="BZ8">
        <f t="shared" si="37"/>
        <v>7058.9299304122414</v>
      </c>
      <c r="CA8">
        <f t="shared" si="37"/>
        <v>1634.2144548155075</v>
      </c>
      <c r="CB8">
        <f t="shared" si="37"/>
        <v>1813.1666665750001</v>
      </c>
      <c r="CC8">
        <f t="shared" si="37"/>
        <v>23004.661316211877</v>
      </c>
      <c r="CD8">
        <f t="shared" si="37"/>
        <v>220882.83586971648</v>
      </c>
      <c r="CE8">
        <f t="shared" si="37"/>
        <v>22.762874515918355</v>
      </c>
      <c r="CF8">
        <f t="shared" si="37"/>
        <v>91453.132832080199</v>
      </c>
      <c r="CG8">
        <f t="shared" si="37"/>
        <v>1253.1222219244987</v>
      </c>
      <c r="CH8">
        <f t="shared" si="37"/>
        <v>7058.9299304122414</v>
      </c>
      <c r="CI8">
        <f t="shared" si="37"/>
        <v>1634.2144548155075</v>
      </c>
      <c r="CJ8">
        <f t="shared" si="37"/>
        <v>226.64583332187502</v>
      </c>
      <c r="CK8">
        <f t="shared" si="37"/>
        <v>2875.5826645264847</v>
      </c>
      <c r="CL8">
        <f t="shared" si="37"/>
        <v>104524.39081159674</v>
      </c>
      <c r="CM8">
        <f t="shared" si="37"/>
        <v>569.59140441146928</v>
      </c>
      <c r="CN8">
        <f t="shared" si="37"/>
        <v>153444.58166060792</v>
      </c>
      <c r="CO8">
        <f t="shared" si="37"/>
        <v>5625.3583982974433</v>
      </c>
      <c r="CP8">
        <f t="shared" si="37"/>
        <v>70589.299304122411</v>
      </c>
      <c r="CQ8">
        <f t="shared" si="37"/>
        <v>1634.2144548155075</v>
      </c>
      <c r="CR8">
        <f t="shared" si="37"/>
        <v>27665.86821427137</v>
      </c>
      <c r="CS8">
        <f t="shared" si="37"/>
        <v>452.41831550396694</v>
      </c>
      <c r="CT8">
        <f t="shared" si="37"/>
        <v>259981.33175203009</v>
      </c>
      <c r="CU8">
        <f t="shared" si="37"/>
        <v>199.35699154401425</v>
      </c>
      <c r="CV8">
        <f t="shared" si="37"/>
        <v>30688.916332121582</v>
      </c>
      <c r="CW8">
        <f t="shared" si="37"/>
        <v>1968.8754394041052</v>
      </c>
      <c r="CX8">
        <f t="shared" si="37"/>
        <v>7058.9299304122414</v>
      </c>
      <c r="CY8">
        <f t="shared" si="37"/>
        <v>1634.2144548155075</v>
      </c>
      <c r="CZ8">
        <f t="shared" si="37"/>
        <v>22132.694571417094</v>
      </c>
      <c r="DA8">
        <f t="shared" si="37"/>
        <v>361.93465240317369</v>
      </c>
      <c r="DB8">
        <f t="shared" si="37"/>
        <v>64044.922372117726</v>
      </c>
      <c r="DC8">
        <f t="shared" si="37"/>
        <v>75.257951176417933</v>
      </c>
      <c r="DD8">
        <f t="shared" si="37"/>
        <v>30688.916332121582</v>
      </c>
      <c r="DE8">
        <f t="shared" si="37"/>
        <v>1968.8754394041052</v>
      </c>
      <c r="DF8">
        <f t="shared" si="37"/>
        <v>7058.9299304122414</v>
      </c>
      <c r="DG8">
        <f t="shared" si="37"/>
        <v>1634.2144548155075</v>
      </c>
      <c r="DH8">
        <f t="shared" si="37"/>
        <v>1813.1666665750001</v>
      </c>
      <c r="DI8">
        <f t="shared" si="37"/>
        <v>361.93465240317369</v>
      </c>
      <c r="DJ8">
        <f t="shared" si="37"/>
        <v>43601.295426908036</v>
      </c>
      <c r="DK8">
        <f t="shared" si="37"/>
        <v>215.0227176469084</v>
      </c>
      <c r="DL8">
        <f t="shared" si="37"/>
        <v>153444.58166060792</v>
      </c>
      <c r="DM8">
        <f t="shared" si="37"/>
        <v>5625.3583982974433</v>
      </c>
      <c r="DN8">
        <f t="shared" si="37"/>
        <v>70589.299304122411</v>
      </c>
      <c r="DO8">
        <f t="shared" si="37"/>
        <v>1634.2144548155075</v>
      </c>
      <c r="DP8">
        <f t="shared" si="37"/>
        <v>2266.4583332187503</v>
      </c>
      <c r="DQ8">
        <f t="shared" si="37"/>
        <v>452.41831550396694</v>
      </c>
      <c r="DR8">
        <f t="shared" si="37"/>
        <v>234227.3531842129</v>
      </c>
    </row>
    <row r="9" spans="1:122">
      <c r="A9">
        <v>13</v>
      </c>
      <c r="B9">
        <v>2</v>
      </c>
      <c r="C9">
        <v>14</v>
      </c>
      <c r="D9" t="s">
        <v>26</v>
      </c>
      <c r="E9" t="s">
        <v>27</v>
      </c>
      <c r="F9">
        <v>2.0618545757172426</v>
      </c>
      <c r="G9">
        <v>8861.7376775271496</v>
      </c>
      <c r="H9">
        <v>645.43195288196478</v>
      </c>
      <c r="I9">
        <v>135411.82049160916</v>
      </c>
      <c r="J9">
        <v>661.81220501530515</v>
      </c>
      <c r="K9">
        <v>171.70138888020833</v>
      </c>
      <c r="L9">
        <v>748.84965222043877</v>
      </c>
      <c r="M9">
        <f t="shared" si="0"/>
        <v>146503.41522270994</v>
      </c>
      <c r="N9">
        <f t="shared" si="1"/>
        <v>0.7216491015010349</v>
      </c>
      <c r="O9">
        <f t="shared" si="2"/>
        <v>1772.34753550543</v>
      </c>
      <c r="P9">
        <f t="shared" si="3"/>
        <v>225.90118350868767</v>
      </c>
      <c r="Q9">
        <f t="shared" si="4"/>
        <v>13541.182049160918</v>
      </c>
      <c r="R9">
        <f t="shared" si="5"/>
        <v>661.81220501530515</v>
      </c>
      <c r="S9">
        <f t="shared" si="6"/>
        <v>137.36111110416667</v>
      </c>
      <c r="T9">
        <f t="shared" si="7"/>
        <v>599.07972177635099</v>
      </c>
      <c r="U9">
        <f t="shared" si="8"/>
        <v>16938.40545517236</v>
      </c>
      <c r="V9">
        <f t="shared" si="9"/>
        <v>0.20618545757172427</v>
      </c>
      <c r="W9">
        <f t="shared" si="10"/>
        <v>886.17376775271498</v>
      </c>
      <c r="X9">
        <f t="shared" si="11"/>
        <v>64.543195288196486</v>
      </c>
      <c r="Y9">
        <f t="shared" si="12"/>
        <v>13541.182049160918</v>
      </c>
      <c r="Z9">
        <f t="shared" si="13"/>
        <v>661.81220501530515</v>
      </c>
      <c r="AA9">
        <f t="shared" si="14"/>
        <v>17.170138888020833</v>
      </c>
      <c r="AB9">
        <f t="shared" si="15"/>
        <v>74.884965222043874</v>
      </c>
      <c r="AC9">
        <f t="shared" si="16"/>
        <v>15245.97250678477</v>
      </c>
      <c r="AD9" s="92">
        <v>261.79396180122893</v>
      </c>
      <c r="AE9" s="92">
        <v>70525.756952686657</v>
      </c>
      <c r="AF9" s="92">
        <v>2585.511035166965</v>
      </c>
      <c r="AG9">
        <f>Tableau4[[#This Row],[KUVC rest. à emporter / traiteur]]</f>
        <v>135411.82049160916</v>
      </c>
      <c r="AH9">
        <v>661.81220501530515</v>
      </c>
      <c r="AI9">
        <v>12715.706716059691</v>
      </c>
      <c r="AJ9">
        <v>207.9392039449761</v>
      </c>
      <c r="AK9">
        <f t="shared" si="17"/>
        <v>222370.34056628399</v>
      </c>
      <c r="AL9" s="92">
        <f>Tableau4[[#This Row],[KUVC Miel Conso]]*BC$94</f>
        <v>91.627886630430126</v>
      </c>
      <c r="AM9" s="92">
        <f>Tableau4[[#This Row],[KUVC ind. Lait.  Conso]]*BD$94</f>
        <v>14105.151390537332</v>
      </c>
      <c r="AN9" s="92">
        <f>Tableau4[[#This Row],[KUVC fermiers   Conso]]*BE$94</f>
        <v>904.92886230843772</v>
      </c>
      <c r="AO9" s="92">
        <f>Tableau4[[#This Row],[KUVC rest. à emporter  Conso]]*BF$94</f>
        <v>13541.182049160918</v>
      </c>
      <c r="AP9" s="92">
        <f>Tableau4[[#This Row],[KUVC portage domicile  Conso]]*BG$94</f>
        <v>661.81220501530515</v>
      </c>
      <c r="AQ9" s="92">
        <f>Tableau4[[#This Row],[KUVC bière  Conso]]*BH$94</f>
        <v>10172.565372847754</v>
      </c>
      <c r="AR9" s="92">
        <f>Tableau4[[#This Row],[KUVC cidricole  Conso]]*BI$94</f>
        <v>166.35136315598089</v>
      </c>
      <c r="AS9">
        <f t="shared" si="18"/>
        <v>39643.619129656159</v>
      </c>
      <c r="AT9">
        <f t="shared" si="19"/>
        <v>0.7216491015010349</v>
      </c>
      <c r="AU9">
        <f t="shared" si="20"/>
        <v>1772.34753550543</v>
      </c>
      <c r="AV9">
        <f t="shared" si="21"/>
        <v>225.90118350868767</v>
      </c>
      <c r="AW9">
        <f t="shared" si="22"/>
        <v>13541.182049160918</v>
      </c>
      <c r="AX9">
        <f t="shared" si="23"/>
        <v>661.81220501530515</v>
      </c>
      <c r="AY9">
        <f t="shared" si="24"/>
        <v>137.36111110416667</v>
      </c>
      <c r="AZ9">
        <f t="shared" si="25"/>
        <v>166.35136315598089</v>
      </c>
      <c r="BA9">
        <f t="shared" si="26"/>
        <v>16505.67709655199</v>
      </c>
      <c r="BB9">
        <f t="shared" si="27"/>
        <v>2.0618545757172426</v>
      </c>
      <c r="BC9">
        <f t="shared" si="28"/>
        <v>8861.7376775271496</v>
      </c>
      <c r="BD9">
        <f t="shared" si="29"/>
        <v>645.43195288196478</v>
      </c>
      <c r="BE9">
        <f t="shared" si="30"/>
        <v>135411.82049160916</v>
      </c>
      <c r="BF9">
        <f t="shared" si="31"/>
        <v>661.81220501530515</v>
      </c>
      <c r="BG9">
        <f t="shared" si="32"/>
        <v>171.70138888020833</v>
      </c>
      <c r="BH9">
        <f t="shared" si="33"/>
        <v>207.9392039449761</v>
      </c>
      <c r="BI9">
        <f t="shared" si="34"/>
        <v>145962.50477443449</v>
      </c>
      <c r="BN9" s="53" t="s">
        <v>196</v>
      </c>
      <c r="BO9">
        <f>SUM(F$42:F$57)</f>
        <v>278.35036772182775</v>
      </c>
      <c r="BP9">
        <f t="shared" ref="BP9:DR9" si="38">SUM(G$42:G$57)</f>
        <v>552972.43107769429</v>
      </c>
      <c r="BQ9">
        <f t="shared" si="38"/>
        <v>6444.1584817248504</v>
      </c>
      <c r="BR9">
        <f t="shared" si="38"/>
        <v>35078.055024193287</v>
      </c>
      <c r="BS9">
        <f t="shared" si="38"/>
        <v>970.06800669511586</v>
      </c>
      <c r="BT9">
        <f t="shared" si="38"/>
        <v>700.54166663124977</v>
      </c>
      <c r="BU9">
        <f t="shared" si="38"/>
        <v>32709.752808988767</v>
      </c>
      <c r="BV9">
        <f t="shared" si="38"/>
        <v>629153.35743364936</v>
      </c>
      <c r="BW9">
        <f t="shared" si="38"/>
        <v>97.422628702639699</v>
      </c>
      <c r="BX9">
        <f t="shared" si="38"/>
        <v>110594.48621553885</v>
      </c>
      <c r="BY9">
        <f t="shared" si="38"/>
        <v>2255.4554686036963</v>
      </c>
      <c r="BZ9">
        <f t="shared" si="38"/>
        <v>3507.8055024193286</v>
      </c>
      <c r="CA9">
        <f t="shared" si="38"/>
        <v>970.06800669511586</v>
      </c>
      <c r="CB9">
        <f t="shared" si="38"/>
        <v>560.43333330500002</v>
      </c>
      <c r="CC9">
        <f t="shared" si="38"/>
        <v>26167.802247191015</v>
      </c>
      <c r="CD9">
        <f t="shared" si="38"/>
        <v>144153.47340245562</v>
      </c>
      <c r="CE9">
        <f t="shared" si="38"/>
        <v>27.835036772182782</v>
      </c>
      <c r="CF9">
        <f t="shared" si="38"/>
        <v>55297.243107769427</v>
      </c>
      <c r="CG9">
        <f t="shared" si="38"/>
        <v>644.41584817248474</v>
      </c>
      <c r="CH9">
        <f t="shared" si="38"/>
        <v>3507.8055024193286</v>
      </c>
      <c r="CI9">
        <f t="shared" si="38"/>
        <v>970.06800669511586</v>
      </c>
      <c r="CJ9">
        <f t="shared" si="38"/>
        <v>70.054166663125002</v>
      </c>
      <c r="CK9">
        <f t="shared" si="38"/>
        <v>3270.9752808988769</v>
      </c>
      <c r="CL9">
        <f t="shared" si="38"/>
        <v>63788.396949390539</v>
      </c>
      <c r="CM9">
        <f t="shared" si="38"/>
        <v>263.53270485069328</v>
      </c>
      <c r="CN9">
        <f t="shared" si="38"/>
        <v>70994.164126274612</v>
      </c>
      <c r="CO9">
        <f t="shared" si="38"/>
        <v>2602.6830864655481</v>
      </c>
      <c r="CP9">
        <f t="shared" si="38"/>
        <v>35078.055024193287</v>
      </c>
      <c r="CQ9">
        <f t="shared" si="38"/>
        <v>970.06800669511586</v>
      </c>
      <c r="CR9">
        <f t="shared" si="38"/>
        <v>12800.159949890813</v>
      </c>
      <c r="CS9">
        <f t="shared" si="38"/>
        <v>209.32026270997915</v>
      </c>
      <c r="CT9">
        <f t="shared" si="38"/>
        <v>122917.98316108003</v>
      </c>
      <c r="CU9">
        <f t="shared" si="38"/>
        <v>92.23644669774265</v>
      </c>
      <c r="CV9">
        <f t="shared" si="38"/>
        <v>14198.832825254916</v>
      </c>
      <c r="CW9">
        <f t="shared" si="38"/>
        <v>910.93908026294162</v>
      </c>
      <c r="CX9">
        <f t="shared" si="38"/>
        <v>3507.8055024193286</v>
      </c>
      <c r="CY9">
        <f t="shared" si="38"/>
        <v>970.06800669511586</v>
      </c>
      <c r="CZ9">
        <f t="shared" si="38"/>
        <v>10240.127959912654</v>
      </c>
      <c r="DA9">
        <f t="shared" si="38"/>
        <v>167.45621016798339</v>
      </c>
      <c r="DB9">
        <f t="shared" si="38"/>
        <v>30087.466031410684</v>
      </c>
      <c r="DC9">
        <f t="shared" si="38"/>
        <v>69.131310512458654</v>
      </c>
      <c r="DD9">
        <f t="shared" si="38"/>
        <v>14042.691174042498</v>
      </c>
      <c r="DE9">
        <f t="shared" si="38"/>
        <v>869.92682396770272</v>
      </c>
      <c r="DF9">
        <f t="shared" si="38"/>
        <v>3507.8055024193286</v>
      </c>
      <c r="DG9">
        <f t="shared" si="38"/>
        <v>970.06800669511586</v>
      </c>
      <c r="DH9">
        <f t="shared" si="38"/>
        <v>545.83119206711831</v>
      </c>
      <c r="DI9">
        <f t="shared" si="38"/>
        <v>167.45621016798339</v>
      </c>
      <c r="DJ9">
        <f t="shared" si="38"/>
        <v>20172.910219872207</v>
      </c>
      <c r="DK9">
        <f t="shared" si="38"/>
        <v>197.51803003559618</v>
      </c>
      <c r="DL9">
        <f t="shared" si="38"/>
        <v>70213.455870212521</v>
      </c>
      <c r="DM9">
        <f t="shared" si="38"/>
        <v>2485.505211336294</v>
      </c>
      <c r="DN9">
        <f t="shared" si="38"/>
        <v>35078.055024193287</v>
      </c>
      <c r="DO9">
        <f t="shared" si="38"/>
        <v>970.06800669511586</v>
      </c>
      <c r="DP9">
        <f t="shared" si="38"/>
        <v>682.28899008389772</v>
      </c>
      <c r="DQ9">
        <f t="shared" si="38"/>
        <v>209.32026270997915</v>
      </c>
      <c r="DR9">
        <f t="shared" si="38"/>
        <v>109836.21139526668</v>
      </c>
    </row>
    <row r="10" spans="1:122" ht="30">
      <c r="A10">
        <v>20</v>
      </c>
      <c r="B10">
        <v>2</v>
      </c>
      <c r="C10">
        <v>14</v>
      </c>
      <c r="D10" t="s">
        <v>40</v>
      </c>
      <c r="E10" t="s">
        <v>41</v>
      </c>
      <c r="F10">
        <v>2.0618545757172426</v>
      </c>
      <c r="G10">
        <v>8861.7376775271496</v>
      </c>
      <c r="H10">
        <v>511.61297533662167</v>
      </c>
      <c r="I10">
        <v>3082.1938579929651</v>
      </c>
      <c r="J10">
        <v>50.674789269719675</v>
      </c>
      <c r="K10">
        <v>171.70138888020833</v>
      </c>
      <c r="L10">
        <v>748.84965222043877</v>
      </c>
      <c r="M10">
        <f t="shared" si="0"/>
        <v>13428.832195802821</v>
      </c>
      <c r="N10">
        <f t="shared" si="1"/>
        <v>0.7216491015010349</v>
      </c>
      <c r="O10">
        <f t="shared" si="2"/>
        <v>1772.34753550543</v>
      </c>
      <c r="P10">
        <f t="shared" si="3"/>
        <v>179.06454136781758</v>
      </c>
      <c r="Q10">
        <f t="shared" si="4"/>
        <v>308.21938579929656</v>
      </c>
      <c r="R10">
        <f t="shared" si="5"/>
        <v>50.674789269719675</v>
      </c>
      <c r="S10">
        <f t="shared" si="6"/>
        <v>137.36111110416667</v>
      </c>
      <c r="T10">
        <f t="shared" si="7"/>
        <v>599.07972177635099</v>
      </c>
      <c r="U10">
        <f t="shared" si="8"/>
        <v>3047.4687339242828</v>
      </c>
      <c r="V10">
        <f t="shared" si="9"/>
        <v>0.20618545757172427</v>
      </c>
      <c r="W10">
        <f t="shared" si="10"/>
        <v>886.17376775271498</v>
      </c>
      <c r="X10">
        <f t="shared" si="11"/>
        <v>51.161297533662172</v>
      </c>
      <c r="Y10">
        <f t="shared" si="12"/>
        <v>308.21938579929656</v>
      </c>
      <c r="Z10">
        <f t="shared" si="13"/>
        <v>50.674789269719675</v>
      </c>
      <c r="AA10">
        <f t="shared" si="14"/>
        <v>17.170138888020833</v>
      </c>
      <c r="AB10">
        <f t="shared" si="15"/>
        <v>74.884965222043874</v>
      </c>
      <c r="AC10">
        <f t="shared" si="16"/>
        <v>1388.4905299230295</v>
      </c>
      <c r="AD10" s="92">
        <v>34.619539703564577</v>
      </c>
      <c r="AE10" s="92">
        <v>9326.3008288987221</v>
      </c>
      <c r="AF10" s="92">
        <v>341.9070528598682</v>
      </c>
      <c r="AG10">
        <f>Tableau4[[#This Row],[KUVC rest. à emporter / traiteur]]</f>
        <v>3082.1938579929651</v>
      </c>
      <c r="AH10">
        <v>50.674789269719675</v>
      </c>
      <c r="AI10">
        <v>1681.5204998874221</v>
      </c>
      <c r="AJ10">
        <v>27.497805821688434</v>
      </c>
      <c r="AK10">
        <f t="shared" si="17"/>
        <v>14544.71437443395</v>
      </c>
      <c r="AL10" s="92">
        <f>Tableau4[[#This Row],[KUVC Miel Conso]]*BC$94</f>
        <v>12.116838896247602</v>
      </c>
      <c r="AM10" s="92">
        <f>Tableau4[[#This Row],[KUVC ind. Lait.  Conso]]*BD$94</f>
        <v>1865.2601657797445</v>
      </c>
      <c r="AN10" s="92">
        <f>Tableau4[[#This Row],[KUVC fermiers   Conso]]*BE$94</f>
        <v>119.66746850095386</v>
      </c>
      <c r="AO10" s="92">
        <f>Tableau4[[#This Row],[KUVC rest. à emporter  Conso]]*BF$94</f>
        <v>308.21938579929656</v>
      </c>
      <c r="AP10" s="92">
        <f>Tableau4[[#This Row],[KUVC portage domicile  Conso]]*BG$94</f>
        <v>50.674789269719675</v>
      </c>
      <c r="AQ10" s="92">
        <f>Tableau4[[#This Row],[KUVC bière  Conso]]*BH$94</f>
        <v>1345.2163999099378</v>
      </c>
      <c r="AR10" s="92">
        <f>Tableau4[[#This Row],[KUVC cidricole  Conso]]*BI$94</f>
        <v>21.99824465735075</v>
      </c>
      <c r="AS10">
        <f t="shared" si="18"/>
        <v>3723.1532928132515</v>
      </c>
      <c r="AT10">
        <f t="shared" si="19"/>
        <v>0.7216491015010349</v>
      </c>
      <c r="AU10">
        <f t="shared" si="20"/>
        <v>1772.34753550543</v>
      </c>
      <c r="AV10">
        <f t="shared" si="21"/>
        <v>119.66746850095386</v>
      </c>
      <c r="AW10">
        <f t="shared" si="22"/>
        <v>308.21938579929656</v>
      </c>
      <c r="AX10">
        <f t="shared" si="23"/>
        <v>50.674789269719675</v>
      </c>
      <c r="AY10">
        <f t="shared" si="24"/>
        <v>137.36111110416667</v>
      </c>
      <c r="AZ10">
        <f t="shared" si="25"/>
        <v>21.99824465735075</v>
      </c>
      <c r="BA10">
        <f t="shared" si="26"/>
        <v>2410.9901839384188</v>
      </c>
      <c r="BB10">
        <f t="shared" si="27"/>
        <v>2.0618545757172426</v>
      </c>
      <c r="BC10">
        <f t="shared" si="28"/>
        <v>8861.7376775271496</v>
      </c>
      <c r="BD10">
        <f t="shared" si="29"/>
        <v>341.9070528598682</v>
      </c>
      <c r="BE10">
        <f t="shared" si="30"/>
        <v>3082.1938579929651</v>
      </c>
      <c r="BF10">
        <f t="shared" si="31"/>
        <v>50.674789269719675</v>
      </c>
      <c r="BG10">
        <f t="shared" si="32"/>
        <v>171.70138888020833</v>
      </c>
      <c r="BH10">
        <f t="shared" si="33"/>
        <v>27.497805821688434</v>
      </c>
      <c r="BI10">
        <f t="shared" si="34"/>
        <v>12537.774426927317</v>
      </c>
      <c r="BN10" s="53" t="s">
        <v>191</v>
      </c>
      <c r="BO10">
        <f>SUM(F$58:F$75)</f>
        <v>242.1626911595786</v>
      </c>
      <c r="BP10">
        <f t="shared" ref="BP10:DR10" si="39">SUM(G$58:G$75)</f>
        <v>425363.40852130332</v>
      </c>
      <c r="BQ10">
        <f t="shared" si="39"/>
        <v>10245.869786817037</v>
      </c>
      <c r="BR10">
        <f t="shared" si="39"/>
        <v>428929.37025901931</v>
      </c>
      <c r="BS10">
        <f t="shared" si="39"/>
        <v>3145.3382993802493</v>
      </c>
      <c r="BT10">
        <f t="shared" si="39"/>
        <v>2513.7083332062498</v>
      </c>
      <c r="BU10">
        <f t="shared" si="39"/>
        <v>7458.5425361155676</v>
      </c>
      <c r="BV10">
        <f t="shared" si="39"/>
        <v>877898.40042700118</v>
      </c>
      <c r="BW10">
        <f t="shared" si="39"/>
        <v>84.756941905852543</v>
      </c>
      <c r="BX10">
        <f t="shared" si="39"/>
        <v>85072.681704260642</v>
      </c>
      <c r="BY10">
        <f t="shared" si="39"/>
        <v>3586.054425385963</v>
      </c>
      <c r="BZ10">
        <f t="shared" si="39"/>
        <v>42892.93702590192</v>
      </c>
      <c r="CA10">
        <f t="shared" si="39"/>
        <v>3145.3382993802493</v>
      </c>
      <c r="CB10">
        <f t="shared" si="39"/>
        <v>2010.966666565</v>
      </c>
      <c r="CC10">
        <f t="shared" si="39"/>
        <v>5966.8340288924574</v>
      </c>
      <c r="CD10">
        <f t="shared" si="39"/>
        <v>142759.56909229208</v>
      </c>
      <c r="CE10">
        <f t="shared" si="39"/>
        <v>24.216269115957871</v>
      </c>
      <c r="CF10">
        <f t="shared" si="39"/>
        <v>42536.340852130321</v>
      </c>
      <c r="CG10">
        <f t="shared" si="39"/>
        <v>1024.5869786817038</v>
      </c>
      <c r="CH10">
        <f t="shared" si="39"/>
        <v>42892.93702590192</v>
      </c>
      <c r="CI10">
        <f t="shared" si="39"/>
        <v>3145.3382993802493</v>
      </c>
      <c r="CJ10">
        <f t="shared" si="39"/>
        <v>251.370833320625</v>
      </c>
      <c r="CK10">
        <f t="shared" si="39"/>
        <v>745.85425361155717</v>
      </c>
      <c r="CL10">
        <f t="shared" si="39"/>
        <v>90620.644512142331</v>
      </c>
      <c r="CM10">
        <f t="shared" si="39"/>
        <v>1268.904143331057</v>
      </c>
      <c r="CN10">
        <f t="shared" si="39"/>
        <v>341835.32955878566</v>
      </c>
      <c r="CO10">
        <f t="shared" si="39"/>
        <v>12531.86147831211</v>
      </c>
      <c r="CP10">
        <f t="shared" si="39"/>
        <v>428929.37025901931</v>
      </c>
      <c r="CQ10">
        <f t="shared" si="39"/>
        <v>3145.3382993802493</v>
      </c>
      <c r="CR10">
        <f t="shared" si="39"/>
        <v>61632.486961794202</v>
      </c>
      <c r="CS10">
        <f t="shared" si="39"/>
        <v>1007.8724338458113</v>
      </c>
      <c r="CT10">
        <f t="shared" si="39"/>
        <v>850351.16313446825</v>
      </c>
      <c r="CU10">
        <f t="shared" si="39"/>
        <v>444.11645016587005</v>
      </c>
      <c r="CV10">
        <f t="shared" si="39"/>
        <v>68367.065911757134</v>
      </c>
      <c r="CW10">
        <f t="shared" si="39"/>
        <v>4386.1515174092383</v>
      </c>
      <c r="CX10">
        <f t="shared" si="39"/>
        <v>42892.93702590192</v>
      </c>
      <c r="CY10">
        <f t="shared" si="39"/>
        <v>3145.3382993802493</v>
      </c>
      <c r="CZ10">
        <f t="shared" si="39"/>
        <v>49305.989569435369</v>
      </c>
      <c r="DA10">
        <f t="shared" si="39"/>
        <v>806.29794707664882</v>
      </c>
      <c r="DB10">
        <f t="shared" si="39"/>
        <v>169347.89672112642</v>
      </c>
      <c r="DC10">
        <f t="shared" si="39"/>
        <v>83.084409101291371</v>
      </c>
      <c r="DD10">
        <f t="shared" si="39"/>
        <v>42022.208812932295</v>
      </c>
      <c r="DE10">
        <f t="shared" si="39"/>
        <v>2620.2033383689713</v>
      </c>
      <c r="DF10">
        <f t="shared" si="39"/>
        <v>42892.93702590192</v>
      </c>
      <c r="DG10">
        <f t="shared" si="39"/>
        <v>3145.3382993802493</v>
      </c>
      <c r="DH10">
        <f t="shared" si="39"/>
        <v>2010.966666565</v>
      </c>
      <c r="DI10">
        <f t="shared" si="39"/>
        <v>806.29794707664882</v>
      </c>
      <c r="DJ10">
        <f t="shared" si="39"/>
        <v>93581.036499326379</v>
      </c>
      <c r="DK10">
        <f t="shared" si="39"/>
        <v>237.38402600368957</v>
      </c>
      <c r="DL10">
        <f t="shared" si="39"/>
        <v>210111.04406466152</v>
      </c>
      <c r="DM10">
        <f t="shared" si="39"/>
        <v>7486.295252482776</v>
      </c>
      <c r="DN10">
        <f t="shared" si="39"/>
        <v>428929.37025901931</v>
      </c>
      <c r="DO10">
        <f t="shared" si="39"/>
        <v>3145.3382993802493</v>
      </c>
      <c r="DP10">
        <f t="shared" si="39"/>
        <v>2513.7083332062498</v>
      </c>
      <c r="DQ10">
        <f t="shared" si="39"/>
        <v>1007.8724338458113</v>
      </c>
      <c r="DR10">
        <f t="shared" si="39"/>
        <v>653431.01266859949</v>
      </c>
    </row>
    <row r="11" spans="1:122">
      <c r="A11">
        <v>21</v>
      </c>
      <c r="B11">
        <v>2</v>
      </c>
      <c r="C11">
        <v>14</v>
      </c>
      <c r="D11" t="s">
        <v>42</v>
      </c>
      <c r="E11" t="s">
        <v>43</v>
      </c>
      <c r="F11">
        <v>2.0618545757172426</v>
      </c>
      <c r="G11">
        <v>8861.7376775271496</v>
      </c>
      <c r="H11">
        <v>354.35880054798662</v>
      </c>
      <c r="I11">
        <v>5129.7671183089487</v>
      </c>
      <c r="J11">
        <v>43.509205784338853</v>
      </c>
      <c r="K11">
        <v>171.70138888020833</v>
      </c>
      <c r="L11">
        <v>748.84965222043877</v>
      </c>
      <c r="M11">
        <f t="shared" si="0"/>
        <v>15311.98569784479</v>
      </c>
      <c r="N11">
        <f t="shared" si="1"/>
        <v>0.7216491015010349</v>
      </c>
      <c r="O11">
        <f t="shared" si="2"/>
        <v>1772.34753550543</v>
      </c>
      <c r="P11">
        <f t="shared" si="3"/>
        <v>124.02558019179531</v>
      </c>
      <c r="Q11">
        <f t="shared" si="4"/>
        <v>512.97671183089494</v>
      </c>
      <c r="R11">
        <f t="shared" si="5"/>
        <v>43.509205784338853</v>
      </c>
      <c r="S11">
        <f t="shared" si="6"/>
        <v>137.36111110416667</v>
      </c>
      <c r="T11">
        <f t="shared" si="7"/>
        <v>599.07972177635099</v>
      </c>
      <c r="U11">
        <f t="shared" si="8"/>
        <v>3190.0215152944784</v>
      </c>
      <c r="V11">
        <f t="shared" si="9"/>
        <v>0.20618545757172427</v>
      </c>
      <c r="W11">
        <f t="shared" si="10"/>
        <v>886.17376775271498</v>
      </c>
      <c r="X11">
        <f t="shared" si="11"/>
        <v>35.435880054798666</v>
      </c>
      <c r="Y11">
        <f t="shared" si="12"/>
        <v>512.97671183089494</v>
      </c>
      <c r="Z11">
        <f t="shared" si="13"/>
        <v>43.509205784338853</v>
      </c>
      <c r="AA11">
        <f t="shared" si="14"/>
        <v>17.170138888020833</v>
      </c>
      <c r="AB11">
        <f t="shared" si="15"/>
        <v>74.884965222043874</v>
      </c>
      <c r="AC11">
        <f t="shared" si="16"/>
        <v>1570.3568549903835</v>
      </c>
      <c r="AD11" s="92">
        <v>25.173310176178347</v>
      </c>
      <c r="AE11" s="92">
        <v>6781.5420300935848</v>
      </c>
      <c r="AF11" s="92">
        <v>248.61486798388202</v>
      </c>
      <c r="AG11">
        <f>Tableau4[[#This Row],[KUVC rest. à emporter / traiteur]]</f>
        <v>5129.7671183089487</v>
      </c>
      <c r="AH11">
        <v>43.509205784338853</v>
      </c>
      <c r="AI11">
        <v>1222.7036371286626</v>
      </c>
      <c r="AJ11">
        <v>19.99480065422166</v>
      </c>
      <c r="AK11">
        <f t="shared" si="17"/>
        <v>13471.304970129819</v>
      </c>
      <c r="AL11" s="92">
        <f>Tableau4[[#This Row],[KUVC Miel Conso]]*BC$94</f>
        <v>8.8106585616624216</v>
      </c>
      <c r="AM11" s="92">
        <f>Tableau4[[#This Row],[KUVC ind. Lait.  Conso]]*BD$94</f>
        <v>1356.3084060187171</v>
      </c>
      <c r="AN11" s="92">
        <f>Tableau4[[#This Row],[KUVC fermiers   Conso]]*BE$94</f>
        <v>87.015203794358698</v>
      </c>
      <c r="AO11" s="92">
        <f>Tableau4[[#This Row],[KUVC rest. à emporter  Conso]]*BF$94</f>
        <v>512.97671183089494</v>
      </c>
      <c r="AP11" s="92">
        <f>Tableau4[[#This Row],[KUVC portage domicile  Conso]]*BG$94</f>
        <v>43.509205784338853</v>
      </c>
      <c r="AQ11" s="92">
        <f>Tableau4[[#This Row],[KUVC bière  Conso]]*BH$94</f>
        <v>978.16290970293016</v>
      </c>
      <c r="AR11" s="92">
        <f>Tableau4[[#This Row],[KUVC cidricole  Conso]]*BI$94</f>
        <v>15.995840523377328</v>
      </c>
      <c r="AS11">
        <f t="shared" si="18"/>
        <v>3002.7789362162794</v>
      </c>
      <c r="AT11">
        <f t="shared" si="19"/>
        <v>0.7216491015010349</v>
      </c>
      <c r="AU11">
        <f t="shared" si="20"/>
        <v>1356.3084060187171</v>
      </c>
      <c r="AV11">
        <f t="shared" si="21"/>
        <v>87.015203794358698</v>
      </c>
      <c r="AW11">
        <f t="shared" si="22"/>
        <v>512.97671183089494</v>
      </c>
      <c r="AX11">
        <f t="shared" si="23"/>
        <v>43.509205784338853</v>
      </c>
      <c r="AY11">
        <f t="shared" si="24"/>
        <v>137.36111110416667</v>
      </c>
      <c r="AZ11">
        <f t="shared" si="25"/>
        <v>15.995840523377328</v>
      </c>
      <c r="BA11">
        <f t="shared" si="26"/>
        <v>2153.8881281573545</v>
      </c>
      <c r="BB11">
        <f t="shared" si="27"/>
        <v>2.0618545757172426</v>
      </c>
      <c r="BC11">
        <f t="shared" si="28"/>
        <v>6781.5420300935848</v>
      </c>
      <c r="BD11">
        <f t="shared" si="29"/>
        <v>248.61486798388202</v>
      </c>
      <c r="BE11">
        <f t="shared" si="30"/>
        <v>5129.7671183089487</v>
      </c>
      <c r="BF11">
        <f t="shared" si="31"/>
        <v>43.509205784338853</v>
      </c>
      <c r="BG11">
        <f t="shared" si="32"/>
        <v>171.70138888020833</v>
      </c>
      <c r="BH11">
        <f t="shared" si="33"/>
        <v>19.99480065422166</v>
      </c>
      <c r="BI11">
        <f t="shared" si="34"/>
        <v>12397.191266280903</v>
      </c>
      <c r="BN11" s="53" t="s">
        <v>230</v>
      </c>
      <c r="BO11" s="85">
        <f>SUM(BO6:BO10)</f>
        <v>1268.6548629219963</v>
      </c>
      <c r="BP11" s="85">
        <f t="shared" ref="BP11:DR11" si="40">SUM(BP6:BP10)</f>
        <v>2828666.6666666665</v>
      </c>
      <c r="BQ11" s="85">
        <f t="shared" si="40"/>
        <v>43208.065995975849</v>
      </c>
      <c r="BR11" s="85">
        <f t="shared" si="40"/>
        <v>828705</v>
      </c>
      <c r="BS11" s="85">
        <f t="shared" si="40"/>
        <v>9000</v>
      </c>
      <c r="BT11" s="85">
        <f t="shared" si="40"/>
        <v>13845.9999993</v>
      </c>
      <c r="BU11" s="85">
        <f t="shared" si="40"/>
        <v>111968</v>
      </c>
      <c r="BV11" s="85">
        <f t="shared" si="40"/>
        <v>3836662.3875248642</v>
      </c>
      <c r="BW11" s="85">
        <f t="shared" si="40"/>
        <v>444.02920202269871</v>
      </c>
      <c r="BX11" s="85">
        <f t="shared" si="40"/>
        <v>565733.33333333326</v>
      </c>
      <c r="BY11" s="85">
        <f t="shared" si="40"/>
        <v>15122.823098591547</v>
      </c>
      <c r="BZ11" s="85">
        <f t="shared" si="40"/>
        <v>82870.499999999971</v>
      </c>
      <c r="CA11" s="85">
        <f t="shared" si="40"/>
        <v>9000</v>
      </c>
      <c r="CB11" s="85">
        <f t="shared" si="40"/>
        <v>11076.799999440002</v>
      </c>
      <c r="CC11" s="85">
        <f t="shared" si="40"/>
        <v>89574.399999999994</v>
      </c>
      <c r="CD11" s="85">
        <f t="shared" si="40"/>
        <v>773821.8856333876</v>
      </c>
      <c r="CE11" s="85">
        <f t="shared" si="40"/>
        <v>126.86548629219963</v>
      </c>
      <c r="CF11" s="85">
        <f t="shared" si="40"/>
        <v>282866.66666666663</v>
      </c>
      <c r="CG11" s="85">
        <f t="shared" si="40"/>
        <v>4320.8065995975849</v>
      </c>
      <c r="CH11" s="85">
        <f t="shared" si="40"/>
        <v>82870.499999999971</v>
      </c>
      <c r="CI11" s="85">
        <f t="shared" si="40"/>
        <v>9000</v>
      </c>
      <c r="CJ11" s="85">
        <f t="shared" si="40"/>
        <v>1384.5999999300002</v>
      </c>
      <c r="CK11" s="85">
        <f t="shared" si="40"/>
        <v>11196.8</v>
      </c>
      <c r="CL11" s="85">
        <f t="shared" si="40"/>
        <v>391766.23875248648</v>
      </c>
      <c r="CM11" s="85">
        <f t="shared" si="40"/>
        <v>3500</v>
      </c>
      <c r="CN11" s="85">
        <f t="shared" si="40"/>
        <v>942879.46000000008</v>
      </c>
      <c r="CO11" s="85">
        <f t="shared" si="40"/>
        <v>34566.452796780657</v>
      </c>
      <c r="CP11" s="85">
        <f t="shared" si="40"/>
        <v>828705</v>
      </c>
      <c r="CQ11" s="85">
        <f t="shared" si="40"/>
        <v>9000</v>
      </c>
      <c r="CR11" s="85">
        <f t="shared" si="40"/>
        <v>170000</v>
      </c>
      <c r="CS11" s="85">
        <f t="shared" si="40"/>
        <v>2780</v>
      </c>
      <c r="CT11" s="85">
        <f t="shared" si="40"/>
        <v>1991430.9127967805</v>
      </c>
      <c r="CU11" s="85">
        <f t="shared" si="40"/>
        <v>1225</v>
      </c>
      <c r="CV11" s="85">
        <f t="shared" si="40"/>
        <v>188575.89199999999</v>
      </c>
      <c r="CW11" s="85">
        <f t="shared" si="40"/>
        <v>12098.258478873229</v>
      </c>
      <c r="CX11" s="85">
        <f t="shared" si="40"/>
        <v>82870.499999999971</v>
      </c>
      <c r="CY11" s="85">
        <f t="shared" si="40"/>
        <v>9000</v>
      </c>
      <c r="CZ11" s="85">
        <f t="shared" si="40"/>
        <v>136000.00000000003</v>
      </c>
      <c r="DA11" s="85">
        <f t="shared" si="40"/>
        <v>2224</v>
      </c>
      <c r="DB11" s="85">
        <f t="shared" si="40"/>
        <v>431993.65047887329</v>
      </c>
      <c r="DC11" s="85">
        <f t="shared" si="40"/>
        <v>365.6816268667593</v>
      </c>
      <c r="DD11" s="85">
        <f t="shared" si="40"/>
        <v>135341.35643213568</v>
      </c>
      <c r="DE11" s="85">
        <f t="shared" si="40"/>
        <v>8790.5747441663752</v>
      </c>
      <c r="DF11" s="85">
        <f t="shared" si="40"/>
        <v>82870.499999999971</v>
      </c>
      <c r="DG11" s="85">
        <f t="shared" si="40"/>
        <v>9000</v>
      </c>
      <c r="DH11" s="85">
        <f t="shared" si="40"/>
        <v>10661.334274795832</v>
      </c>
      <c r="DI11" s="85">
        <f t="shared" si="40"/>
        <v>2224</v>
      </c>
      <c r="DJ11" s="85">
        <f t="shared" si="40"/>
        <v>249253.44707796461</v>
      </c>
      <c r="DK11" s="85">
        <f t="shared" si="40"/>
        <v>1044.8046481907409</v>
      </c>
      <c r="DL11" s="85">
        <f t="shared" si="40"/>
        <v>676706.78216067841</v>
      </c>
      <c r="DM11" s="85">
        <f t="shared" si="40"/>
        <v>25115.927840475357</v>
      </c>
      <c r="DN11" s="85">
        <f t="shared" si="40"/>
        <v>828705</v>
      </c>
      <c r="DO11" s="85">
        <f t="shared" si="40"/>
        <v>9000</v>
      </c>
      <c r="DP11" s="85">
        <f t="shared" si="40"/>
        <v>13326.667843494788</v>
      </c>
      <c r="DQ11" s="85">
        <f t="shared" si="40"/>
        <v>2780</v>
      </c>
      <c r="DR11" s="85">
        <f t="shared" si="40"/>
        <v>1556679.1824928392</v>
      </c>
    </row>
    <row r="12" spans="1:122">
      <c r="A12">
        <v>57</v>
      </c>
      <c r="B12">
        <v>2</v>
      </c>
      <c r="C12">
        <v>14</v>
      </c>
      <c r="D12" t="s">
        <v>114</v>
      </c>
      <c r="E12" t="s">
        <v>115</v>
      </c>
      <c r="F12">
        <v>2.0618545757172426</v>
      </c>
      <c r="G12">
        <v>8861.7376775271496</v>
      </c>
      <c r="H12">
        <v>587.70488634300079</v>
      </c>
      <c r="I12">
        <v>3324.4984783535401</v>
      </c>
      <c r="J12">
        <v>71.058702896693148</v>
      </c>
      <c r="K12">
        <v>171.70138888020833</v>
      </c>
      <c r="L12">
        <v>748.84965222043877</v>
      </c>
      <c r="M12">
        <f t="shared" si="0"/>
        <v>13767.612640796748</v>
      </c>
      <c r="N12">
        <f t="shared" si="1"/>
        <v>0.7216491015010349</v>
      </c>
      <c r="O12">
        <f t="shared" si="2"/>
        <v>1772.34753550543</v>
      </c>
      <c r="P12">
        <f t="shared" si="3"/>
        <v>205.69671022005028</v>
      </c>
      <c r="Q12">
        <f t="shared" si="4"/>
        <v>332.44984783535403</v>
      </c>
      <c r="R12">
        <f t="shared" si="5"/>
        <v>71.058702896693148</v>
      </c>
      <c r="S12">
        <f t="shared" si="6"/>
        <v>137.36111110416667</v>
      </c>
      <c r="T12">
        <f t="shared" si="7"/>
        <v>599.07972177635099</v>
      </c>
      <c r="U12">
        <f t="shared" si="8"/>
        <v>3118.7152784395462</v>
      </c>
      <c r="V12">
        <f t="shared" si="9"/>
        <v>0.20618545757172427</v>
      </c>
      <c r="W12">
        <f t="shared" si="10"/>
        <v>886.17376775271498</v>
      </c>
      <c r="X12">
        <f t="shared" si="11"/>
        <v>58.770488634300079</v>
      </c>
      <c r="Y12">
        <f t="shared" si="12"/>
        <v>332.44984783535403</v>
      </c>
      <c r="Z12">
        <f t="shared" si="13"/>
        <v>71.058702896693148</v>
      </c>
      <c r="AA12">
        <f t="shared" si="14"/>
        <v>17.170138888020833</v>
      </c>
      <c r="AB12">
        <f t="shared" si="15"/>
        <v>74.884965222043874</v>
      </c>
      <c r="AC12">
        <f t="shared" si="16"/>
        <v>1440.7140966866987</v>
      </c>
      <c r="AD12" s="92">
        <v>31.127772102212866</v>
      </c>
      <c r="AE12" s="92">
        <v>8385.6391287821516</v>
      </c>
      <c r="AF12" s="92">
        <v>307.42190429716766</v>
      </c>
      <c r="AG12">
        <f>Tableau4[[#This Row],[KUVC rest. à emporter / traiteur]]</f>
        <v>3324.4984783535401</v>
      </c>
      <c r="AH12">
        <v>71.058702896693148</v>
      </c>
      <c r="AI12">
        <v>1511.9203592503393</v>
      </c>
      <c r="AJ12">
        <v>24.724344698329073</v>
      </c>
      <c r="AK12">
        <f t="shared" si="17"/>
        <v>13656.390690380433</v>
      </c>
      <c r="AL12" s="92">
        <f>Tableau4[[#This Row],[KUVC Miel Conso]]*BC$94</f>
        <v>10.894720235774502</v>
      </c>
      <c r="AM12" s="92">
        <f>Tableau4[[#This Row],[KUVC ind. Lait.  Conso]]*BD$94</f>
        <v>1677.1278257564304</v>
      </c>
      <c r="AN12" s="92">
        <f>Tableau4[[#This Row],[KUVC fermiers   Conso]]*BE$94</f>
        <v>107.59766650400867</v>
      </c>
      <c r="AO12" s="92">
        <f>Tableau4[[#This Row],[KUVC rest. à emporter  Conso]]*BF$94</f>
        <v>332.44984783535403</v>
      </c>
      <c r="AP12" s="92">
        <f>Tableau4[[#This Row],[KUVC portage domicile  Conso]]*BG$94</f>
        <v>71.058702896693148</v>
      </c>
      <c r="AQ12" s="92">
        <f>Tableau4[[#This Row],[KUVC bière  Conso]]*BH$94</f>
        <v>1209.5362874002715</v>
      </c>
      <c r="AR12" s="92">
        <f>Tableau4[[#This Row],[KUVC cidricole  Conso]]*BI$94</f>
        <v>19.77947575866326</v>
      </c>
      <c r="AS12">
        <f t="shared" si="18"/>
        <v>3428.4445263871958</v>
      </c>
      <c r="AT12">
        <f t="shared" si="19"/>
        <v>0.7216491015010349</v>
      </c>
      <c r="AU12">
        <f t="shared" si="20"/>
        <v>1677.1278257564304</v>
      </c>
      <c r="AV12">
        <f t="shared" si="21"/>
        <v>107.59766650400867</v>
      </c>
      <c r="AW12">
        <f t="shared" si="22"/>
        <v>332.44984783535403</v>
      </c>
      <c r="AX12">
        <f t="shared" si="23"/>
        <v>71.058702896693148</v>
      </c>
      <c r="AY12">
        <f t="shared" si="24"/>
        <v>137.36111110416667</v>
      </c>
      <c r="AZ12">
        <f t="shared" si="25"/>
        <v>19.77947575866326</v>
      </c>
      <c r="BA12">
        <f t="shared" si="26"/>
        <v>2346.096278956818</v>
      </c>
      <c r="BB12">
        <f t="shared" si="27"/>
        <v>2.0618545757172426</v>
      </c>
      <c r="BC12">
        <f t="shared" si="28"/>
        <v>8385.6391287821516</v>
      </c>
      <c r="BD12">
        <f t="shared" si="29"/>
        <v>307.42190429716766</v>
      </c>
      <c r="BE12">
        <f t="shared" si="30"/>
        <v>3324.4984783535401</v>
      </c>
      <c r="BF12">
        <f t="shared" si="31"/>
        <v>71.058702896693148</v>
      </c>
      <c r="BG12">
        <f t="shared" si="32"/>
        <v>171.70138888020833</v>
      </c>
      <c r="BH12">
        <f t="shared" si="33"/>
        <v>24.724344698329073</v>
      </c>
      <c r="BI12">
        <f t="shared" si="34"/>
        <v>12287.105802483806</v>
      </c>
    </row>
    <row r="13" spans="1:122">
      <c r="A13">
        <v>59</v>
      </c>
      <c r="B13">
        <v>2</v>
      </c>
      <c r="C13">
        <v>14</v>
      </c>
      <c r="D13" t="s">
        <v>118</v>
      </c>
      <c r="E13" t="s">
        <v>119</v>
      </c>
      <c r="F13">
        <v>2.0618545757172426</v>
      </c>
      <c r="G13">
        <v>8861.7376775271496</v>
      </c>
      <c r="H13">
        <v>139.50411210384345</v>
      </c>
      <c r="I13">
        <v>7255.2348936781636</v>
      </c>
      <c r="J13">
        <v>80.151394061854432</v>
      </c>
      <c r="K13">
        <v>171.70138888020833</v>
      </c>
      <c r="L13">
        <v>748.84965222043877</v>
      </c>
      <c r="M13">
        <f t="shared" si="0"/>
        <v>17259.240973047377</v>
      </c>
      <c r="N13">
        <f t="shared" si="1"/>
        <v>0.7216491015010349</v>
      </c>
      <c r="O13">
        <f t="shared" si="2"/>
        <v>1772.34753550543</v>
      </c>
      <c r="P13">
        <f t="shared" si="3"/>
        <v>48.826439236345209</v>
      </c>
      <c r="Q13">
        <f t="shared" si="4"/>
        <v>725.52348936781641</v>
      </c>
      <c r="R13">
        <f t="shared" si="5"/>
        <v>80.151394061854432</v>
      </c>
      <c r="S13">
        <f t="shared" si="6"/>
        <v>137.36111110416667</v>
      </c>
      <c r="T13">
        <f t="shared" si="7"/>
        <v>599.07972177635099</v>
      </c>
      <c r="U13">
        <f t="shared" si="8"/>
        <v>3364.011340153465</v>
      </c>
      <c r="V13">
        <f t="shared" si="9"/>
        <v>0.20618545757172427</v>
      </c>
      <c r="W13">
        <f t="shared" si="10"/>
        <v>886.17376775271498</v>
      </c>
      <c r="X13">
        <f t="shared" si="11"/>
        <v>13.950411210384345</v>
      </c>
      <c r="Y13">
        <f t="shared" si="12"/>
        <v>725.52348936781641</v>
      </c>
      <c r="Z13">
        <f t="shared" si="13"/>
        <v>80.151394061854432</v>
      </c>
      <c r="AA13">
        <f t="shared" si="14"/>
        <v>17.170138888020833</v>
      </c>
      <c r="AB13">
        <f t="shared" si="15"/>
        <v>74.884965222043874</v>
      </c>
      <c r="AC13">
        <f t="shared" si="16"/>
        <v>1798.0603519604065</v>
      </c>
      <c r="AD13" s="92">
        <v>37.170453257121508</v>
      </c>
      <c r="AE13" s="92">
        <v>10013.501970008561</v>
      </c>
      <c r="AF13" s="92">
        <v>367.10020512778067</v>
      </c>
      <c r="AG13">
        <f>Tableau4[[#This Row],[KUVC rest. à emporter / traiteur]]</f>
        <v>7255.2348936781636</v>
      </c>
      <c r="AH13">
        <v>80.151394061854432</v>
      </c>
      <c r="AI13">
        <v>1805.4220153459019</v>
      </c>
      <c r="AJ13">
        <v>29.52396001565651</v>
      </c>
      <c r="AK13">
        <f t="shared" si="17"/>
        <v>19588.104891495041</v>
      </c>
      <c r="AL13" s="92">
        <f>Tableau4[[#This Row],[KUVC Miel Conso]]*BC$94</f>
        <v>13.009658639992526</v>
      </c>
      <c r="AM13" s="92">
        <f>Tableau4[[#This Row],[KUVC ind. Lait.  Conso]]*BD$94</f>
        <v>2002.7003940017123</v>
      </c>
      <c r="AN13" s="92">
        <f>Tableau4[[#This Row],[KUVC fermiers   Conso]]*BE$94</f>
        <v>128.48507179472324</v>
      </c>
      <c r="AO13" s="92">
        <f>Tableau4[[#This Row],[KUVC rest. à emporter  Conso]]*BF$94</f>
        <v>725.52348936781641</v>
      </c>
      <c r="AP13" s="92">
        <f>Tableau4[[#This Row],[KUVC portage domicile  Conso]]*BG$94</f>
        <v>80.151394061854432</v>
      </c>
      <c r="AQ13" s="92">
        <f>Tableau4[[#This Row],[KUVC bière  Conso]]*BH$94</f>
        <v>1444.3376122767215</v>
      </c>
      <c r="AR13" s="92">
        <f>Tableau4[[#This Row],[KUVC cidricole  Conso]]*BI$94</f>
        <v>23.619168012525208</v>
      </c>
      <c r="AS13">
        <f t="shared" si="18"/>
        <v>4417.8267881553447</v>
      </c>
      <c r="AT13">
        <f t="shared" si="19"/>
        <v>0.7216491015010349</v>
      </c>
      <c r="AU13">
        <f t="shared" si="20"/>
        <v>1772.34753550543</v>
      </c>
      <c r="AV13">
        <f t="shared" si="21"/>
        <v>48.826439236345209</v>
      </c>
      <c r="AW13">
        <f t="shared" si="22"/>
        <v>725.52348936781641</v>
      </c>
      <c r="AX13">
        <f t="shared" si="23"/>
        <v>80.151394061854432</v>
      </c>
      <c r="AY13">
        <f t="shared" si="24"/>
        <v>137.36111110416667</v>
      </c>
      <c r="AZ13">
        <f t="shared" si="25"/>
        <v>23.619168012525208</v>
      </c>
      <c r="BA13">
        <f t="shared" si="26"/>
        <v>2788.5507863896391</v>
      </c>
      <c r="BB13">
        <f t="shared" si="27"/>
        <v>2.0618545757172426</v>
      </c>
      <c r="BC13">
        <f t="shared" si="28"/>
        <v>8861.7376775271496</v>
      </c>
      <c r="BD13">
        <f t="shared" si="29"/>
        <v>139.50411210384345</v>
      </c>
      <c r="BE13">
        <f t="shared" si="30"/>
        <v>7255.2348936781636</v>
      </c>
      <c r="BF13">
        <f t="shared" si="31"/>
        <v>80.151394061854432</v>
      </c>
      <c r="BG13">
        <f t="shared" si="32"/>
        <v>171.70138888020833</v>
      </c>
      <c r="BH13">
        <f t="shared" si="33"/>
        <v>29.52396001565651</v>
      </c>
      <c r="BI13">
        <f t="shared" si="34"/>
        <v>16539.915280842593</v>
      </c>
    </row>
    <row r="14" spans="1:122">
      <c r="A14">
        <v>11</v>
      </c>
      <c r="B14">
        <v>3</v>
      </c>
      <c r="C14">
        <v>14</v>
      </c>
      <c r="D14" t="s">
        <v>22</v>
      </c>
      <c r="E14" t="s">
        <v>23</v>
      </c>
      <c r="F14">
        <v>17.319578436024834</v>
      </c>
      <c r="G14">
        <v>68058.145363408519</v>
      </c>
      <c r="H14">
        <v>409.53175909484543</v>
      </c>
      <c r="I14">
        <v>4747.512168467073</v>
      </c>
      <c r="J14">
        <v>101.24100909269114</v>
      </c>
      <c r="K14">
        <v>65.933333329999996</v>
      </c>
      <c r="L14">
        <v>3486.6439807383626</v>
      </c>
      <c r="M14">
        <f t="shared" si="0"/>
        <v>76886.327192567507</v>
      </c>
      <c r="N14">
        <f t="shared" si="1"/>
        <v>6.0618524526086919</v>
      </c>
      <c r="O14">
        <f t="shared" si="2"/>
        <v>13611.629072681704</v>
      </c>
      <c r="P14">
        <f t="shared" si="3"/>
        <v>143.33611568319589</v>
      </c>
      <c r="Q14">
        <f t="shared" si="4"/>
        <v>474.75121684670734</v>
      </c>
      <c r="R14">
        <f t="shared" si="5"/>
        <v>101.24100909269114</v>
      </c>
      <c r="S14">
        <f t="shared" si="6"/>
        <v>52.746666664000003</v>
      </c>
      <c r="T14">
        <f t="shared" si="7"/>
        <v>2789.3151845906905</v>
      </c>
      <c r="U14">
        <f t="shared" si="8"/>
        <v>17179.0811180116</v>
      </c>
      <c r="V14">
        <f t="shared" si="9"/>
        <v>1.7319578436024834</v>
      </c>
      <c r="W14">
        <f t="shared" si="10"/>
        <v>6805.8145363408521</v>
      </c>
      <c r="X14">
        <f t="shared" si="11"/>
        <v>40.953175909484543</v>
      </c>
      <c r="Y14">
        <f t="shared" si="12"/>
        <v>474.75121684670734</v>
      </c>
      <c r="Z14">
        <f t="shared" si="13"/>
        <v>101.24100909269114</v>
      </c>
      <c r="AA14">
        <f t="shared" si="14"/>
        <v>6.5933333330000004</v>
      </c>
      <c r="AB14">
        <f t="shared" si="15"/>
        <v>348.66439807383631</v>
      </c>
      <c r="AC14">
        <f t="shared" si="16"/>
        <v>7779.7496274401747</v>
      </c>
      <c r="AD14" s="92">
        <v>49.174585953550555</v>
      </c>
      <c r="AE14" s="92">
        <v>13247.344871316382</v>
      </c>
      <c r="AF14" s="92">
        <v>485.65457261846814</v>
      </c>
      <c r="AG14">
        <f>Tableau4[[#This Row],[KUVC rest. à emporter / traiteur]]</f>
        <v>4747.512168467073</v>
      </c>
      <c r="AH14">
        <v>101.24100909269114</v>
      </c>
      <c r="AI14">
        <v>2388.4798891724554</v>
      </c>
      <c r="AJ14">
        <v>39.058671128820151</v>
      </c>
      <c r="AK14">
        <f t="shared" si="17"/>
        <v>21058.46576774944</v>
      </c>
      <c r="AL14" s="92">
        <f>Tableau4[[#This Row],[KUVC Miel Conso]]*BC$94</f>
        <v>17.211105083742694</v>
      </c>
      <c r="AM14" s="92">
        <f>Tableau4[[#This Row],[KUVC ind. Lait.  Conso]]*BD$94</f>
        <v>2649.4689742632763</v>
      </c>
      <c r="AN14" s="92">
        <f>Tableau4[[#This Row],[KUVC fermiers   Conso]]*BE$94</f>
        <v>169.97910041646384</v>
      </c>
      <c r="AO14" s="92">
        <f>Tableau4[[#This Row],[KUVC rest. à emporter  Conso]]*BF$94</f>
        <v>474.75121684670734</v>
      </c>
      <c r="AP14" s="92">
        <f>Tableau4[[#This Row],[KUVC portage domicile  Conso]]*BG$94</f>
        <v>101.24100909269114</v>
      </c>
      <c r="AQ14" s="92">
        <f>Tableau4[[#This Row],[KUVC bière  Conso]]*BH$94</f>
        <v>1910.7839113379644</v>
      </c>
      <c r="AR14" s="92">
        <f>Tableau4[[#This Row],[KUVC cidricole  Conso]]*BI$94</f>
        <v>31.246936903056124</v>
      </c>
      <c r="AS14">
        <f t="shared" si="18"/>
        <v>5354.6822539439017</v>
      </c>
      <c r="AT14">
        <f t="shared" si="19"/>
        <v>6.0618524526086919</v>
      </c>
      <c r="AU14">
        <f t="shared" si="20"/>
        <v>2649.4689742632763</v>
      </c>
      <c r="AV14">
        <f t="shared" si="21"/>
        <v>143.33611568319589</v>
      </c>
      <c r="AW14">
        <f t="shared" si="22"/>
        <v>474.75121684670734</v>
      </c>
      <c r="AX14">
        <f t="shared" si="23"/>
        <v>101.24100909269114</v>
      </c>
      <c r="AY14">
        <f t="shared" si="24"/>
        <v>52.746666664000003</v>
      </c>
      <c r="AZ14">
        <f t="shared" si="25"/>
        <v>31.246936903056124</v>
      </c>
      <c r="BA14">
        <f t="shared" si="26"/>
        <v>3458.8527719055346</v>
      </c>
      <c r="BB14">
        <f t="shared" si="27"/>
        <v>17.319578436024834</v>
      </c>
      <c r="BC14">
        <f t="shared" si="28"/>
        <v>13247.344871316382</v>
      </c>
      <c r="BD14">
        <f t="shared" si="29"/>
        <v>409.53175909484543</v>
      </c>
      <c r="BE14">
        <f t="shared" si="30"/>
        <v>4747.512168467073</v>
      </c>
      <c r="BF14">
        <f t="shared" si="31"/>
        <v>101.24100909269114</v>
      </c>
      <c r="BG14">
        <f t="shared" si="32"/>
        <v>65.933333329999996</v>
      </c>
      <c r="BH14">
        <f t="shared" si="33"/>
        <v>39.058671128820151</v>
      </c>
      <c r="BI14">
        <f t="shared" si="34"/>
        <v>18627.941390865832</v>
      </c>
    </row>
    <row r="15" spans="1:122">
      <c r="A15">
        <v>23</v>
      </c>
      <c r="B15">
        <v>3</v>
      </c>
      <c r="C15">
        <v>14</v>
      </c>
      <c r="D15" t="s">
        <v>46</v>
      </c>
      <c r="E15" t="s">
        <v>47</v>
      </c>
      <c r="F15">
        <v>17.319578436024834</v>
      </c>
      <c r="G15">
        <v>68058.145363408519</v>
      </c>
      <c r="H15">
        <v>467.13362244184049</v>
      </c>
      <c r="I15">
        <v>4515.6895339487965</v>
      </c>
      <c r="J15">
        <v>65.304522219038859</v>
      </c>
      <c r="K15">
        <v>65.933333329999996</v>
      </c>
      <c r="L15">
        <v>3486.6439807383626</v>
      </c>
      <c r="M15">
        <f t="shared" si="0"/>
        <v>76676.169934522579</v>
      </c>
      <c r="N15">
        <f t="shared" si="1"/>
        <v>6.0618524526086919</v>
      </c>
      <c r="O15">
        <f t="shared" si="2"/>
        <v>13611.629072681704</v>
      </c>
      <c r="P15">
        <f t="shared" si="3"/>
        <v>163.49676785464416</v>
      </c>
      <c r="Q15">
        <f t="shared" si="4"/>
        <v>451.56895339487966</v>
      </c>
      <c r="R15">
        <f t="shared" si="5"/>
        <v>65.304522219038859</v>
      </c>
      <c r="S15">
        <f t="shared" si="6"/>
        <v>52.746666664000003</v>
      </c>
      <c r="T15">
        <f t="shared" si="7"/>
        <v>2789.3151845906905</v>
      </c>
      <c r="U15">
        <f t="shared" si="8"/>
        <v>17140.123019857565</v>
      </c>
      <c r="V15">
        <f t="shared" si="9"/>
        <v>1.7319578436024834</v>
      </c>
      <c r="W15">
        <f t="shared" si="10"/>
        <v>6805.8145363408521</v>
      </c>
      <c r="X15">
        <f t="shared" si="11"/>
        <v>46.713362244184054</v>
      </c>
      <c r="Y15">
        <f t="shared" si="12"/>
        <v>451.56895339487966</v>
      </c>
      <c r="Z15">
        <f t="shared" si="13"/>
        <v>65.304522219038859</v>
      </c>
      <c r="AA15">
        <f t="shared" si="14"/>
        <v>6.5933333330000004</v>
      </c>
      <c r="AB15">
        <f t="shared" si="15"/>
        <v>348.66439807383631</v>
      </c>
      <c r="AC15">
        <f t="shared" si="16"/>
        <v>7726.3910634493941</v>
      </c>
      <c r="AD15" s="92">
        <v>33.070561262939002</v>
      </c>
      <c r="AE15" s="92">
        <v>8909.0151272848143</v>
      </c>
      <c r="AF15" s="92">
        <v>326.60914138812115</v>
      </c>
      <c r="AG15">
        <f>Tableau4[[#This Row],[KUVC rest. à emporter / traiteur]]</f>
        <v>4515.6895339487965</v>
      </c>
      <c r="AH15">
        <v>65.304522219038859</v>
      </c>
      <c r="AI15">
        <v>1606.2844041998944</v>
      </c>
      <c r="AJ15">
        <v>26.26747437456298</v>
      </c>
      <c r="AK15">
        <f t="shared" si="17"/>
        <v>15482.240764678167</v>
      </c>
      <c r="AL15" s="92">
        <f>Tableau4[[#This Row],[KUVC Miel Conso]]*BC$94</f>
        <v>11.57469644202865</v>
      </c>
      <c r="AM15" s="92">
        <f>Tableau4[[#This Row],[KUVC ind. Lait.  Conso]]*BD$94</f>
        <v>1781.803025456963</v>
      </c>
      <c r="AN15" s="92">
        <f>Tableau4[[#This Row],[KUVC fermiers   Conso]]*BE$94</f>
        <v>114.31319948584239</v>
      </c>
      <c r="AO15" s="92">
        <f>Tableau4[[#This Row],[KUVC rest. à emporter  Conso]]*BF$94</f>
        <v>451.56895339487966</v>
      </c>
      <c r="AP15" s="92">
        <f>Tableau4[[#This Row],[KUVC portage domicile  Conso]]*BG$94</f>
        <v>65.304522219038859</v>
      </c>
      <c r="AQ15" s="92">
        <f>Tableau4[[#This Row],[KUVC bière  Conso]]*BH$94</f>
        <v>1285.0275233599157</v>
      </c>
      <c r="AR15" s="92">
        <f>Tableau4[[#This Row],[KUVC cidricole  Conso]]*BI$94</f>
        <v>21.013979499650386</v>
      </c>
      <c r="AS15">
        <f t="shared" si="18"/>
        <v>3730.6058998583185</v>
      </c>
      <c r="AT15">
        <f t="shared" si="19"/>
        <v>6.0618524526086919</v>
      </c>
      <c r="AU15">
        <f t="shared" si="20"/>
        <v>1781.803025456963</v>
      </c>
      <c r="AV15">
        <f t="shared" si="21"/>
        <v>114.31319948584239</v>
      </c>
      <c r="AW15">
        <f t="shared" si="22"/>
        <v>451.56895339487966</v>
      </c>
      <c r="AX15">
        <f t="shared" si="23"/>
        <v>65.304522219038859</v>
      </c>
      <c r="AY15">
        <f t="shared" si="24"/>
        <v>52.746666664000003</v>
      </c>
      <c r="AZ15">
        <f t="shared" si="25"/>
        <v>21.013979499650386</v>
      </c>
      <c r="BA15">
        <f t="shared" si="26"/>
        <v>2492.8121991729831</v>
      </c>
      <c r="BB15">
        <f t="shared" si="27"/>
        <v>17.319578436024834</v>
      </c>
      <c r="BC15">
        <f t="shared" si="28"/>
        <v>8909.0151272848143</v>
      </c>
      <c r="BD15">
        <f t="shared" si="29"/>
        <v>326.60914138812115</v>
      </c>
      <c r="BE15">
        <f t="shared" si="30"/>
        <v>4515.6895339487965</v>
      </c>
      <c r="BF15">
        <f t="shared" si="31"/>
        <v>65.304522219038859</v>
      </c>
      <c r="BG15">
        <f t="shared" si="32"/>
        <v>65.933333329999996</v>
      </c>
      <c r="BH15">
        <f t="shared" si="33"/>
        <v>26.26747437456298</v>
      </c>
      <c r="BI15">
        <f t="shared" si="34"/>
        <v>13926.138710981359</v>
      </c>
    </row>
    <row r="16" spans="1:122">
      <c r="A16">
        <v>38</v>
      </c>
      <c r="B16">
        <v>3</v>
      </c>
      <c r="C16">
        <v>14</v>
      </c>
      <c r="D16" t="s">
        <v>76</v>
      </c>
      <c r="E16" t="s">
        <v>77</v>
      </c>
      <c r="F16">
        <v>17.319578436024834</v>
      </c>
      <c r="G16">
        <v>68058.145363408519</v>
      </c>
      <c r="H16">
        <v>1834.3288389678914</v>
      </c>
      <c r="I16">
        <v>9625.0292338710133</v>
      </c>
      <c r="J16">
        <v>217.30174766651086</v>
      </c>
      <c r="K16">
        <v>65.933333329999996</v>
      </c>
      <c r="L16">
        <v>3486.6439807383626</v>
      </c>
      <c r="M16">
        <f t="shared" si="0"/>
        <v>83304.702076418325</v>
      </c>
      <c r="N16">
        <f t="shared" si="1"/>
        <v>6.0618524526086919</v>
      </c>
      <c r="O16">
        <f t="shared" si="2"/>
        <v>13611.629072681704</v>
      </c>
      <c r="P16">
        <f t="shared" si="3"/>
        <v>642.01509363876198</v>
      </c>
      <c r="Q16">
        <f t="shared" si="4"/>
        <v>962.50292338710142</v>
      </c>
      <c r="R16">
        <f t="shared" si="5"/>
        <v>217.30174766651086</v>
      </c>
      <c r="S16">
        <f t="shared" si="6"/>
        <v>52.746666664000003</v>
      </c>
      <c r="T16">
        <f t="shared" si="7"/>
        <v>2789.3151845906905</v>
      </c>
      <c r="U16">
        <f t="shared" si="8"/>
        <v>18281.572541081376</v>
      </c>
      <c r="V16">
        <f t="shared" si="9"/>
        <v>1.7319578436024834</v>
      </c>
      <c r="W16">
        <f t="shared" si="10"/>
        <v>6805.8145363408521</v>
      </c>
      <c r="X16">
        <f t="shared" si="11"/>
        <v>183.43288389678915</v>
      </c>
      <c r="Y16">
        <f t="shared" si="12"/>
        <v>962.50292338710142</v>
      </c>
      <c r="Z16">
        <f t="shared" si="13"/>
        <v>217.30174766651086</v>
      </c>
      <c r="AA16">
        <f t="shared" si="14"/>
        <v>6.5933333330000004</v>
      </c>
      <c r="AB16">
        <f t="shared" si="15"/>
        <v>348.66439807383631</v>
      </c>
      <c r="AC16">
        <f t="shared" si="16"/>
        <v>8526.0417805416946</v>
      </c>
      <c r="AD16" s="92">
        <v>79.845119482917326</v>
      </c>
      <c r="AE16" s="92">
        <v>21509.806611911015</v>
      </c>
      <c r="AF16" s="92">
        <v>788.56072961702091</v>
      </c>
      <c r="AG16">
        <f>Tableau4[[#This Row],[KUVC rest. à emporter / traiteur]]</f>
        <v>9625.0292338710133</v>
      </c>
      <c r="AH16">
        <v>217.30174766651086</v>
      </c>
      <c r="AI16">
        <v>3878.1915177416986</v>
      </c>
      <c r="AJ16">
        <v>63.419837760717193</v>
      </c>
      <c r="AK16">
        <f t="shared" si="17"/>
        <v>36162.154798050891</v>
      </c>
      <c r="AL16" s="92">
        <f>Tableau4[[#This Row],[KUVC Miel Conso]]*BC$94</f>
        <v>27.945791819021064</v>
      </c>
      <c r="AM16" s="92">
        <f>Tableau4[[#This Row],[KUVC ind. Lait.  Conso]]*BD$94</f>
        <v>4301.9613223822034</v>
      </c>
      <c r="AN16" s="92">
        <f>Tableau4[[#This Row],[KUVC fermiers   Conso]]*BE$94</f>
        <v>275.99625536595732</v>
      </c>
      <c r="AO16" s="92">
        <f>Tableau4[[#This Row],[KUVC rest. à emporter  Conso]]*BF$94</f>
        <v>962.50292338710142</v>
      </c>
      <c r="AP16" s="92">
        <f>Tableau4[[#This Row],[KUVC portage domicile  Conso]]*BG$94</f>
        <v>217.30174766651086</v>
      </c>
      <c r="AQ16" s="92">
        <f>Tableau4[[#This Row],[KUVC bière  Conso]]*BH$94</f>
        <v>3102.5532141933591</v>
      </c>
      <c r="AR16" s="92">
        <f>Tableau4[[#This Row],[KUVC cidricole  Conso]]*BI$94</f>
        <v>50.735870208573758</v>
      </c>
      <c r="AS16">
        <f t="shared" si="18"/>
        <v>8938.9971250227263</v>
      </c>
      <c r="AT16">
        <f t="shared" si="19"/>
        <v>6.0618524526086919</v>
      </c>
      <c r="AU16">
        <f t="shared" si="20"/>
        <v>4301.9613223822034</v>
      </c>
      <c r="AV16">
        <f t="shared" si="21"/>
        <v>275.99625536595732</v>
      </c>
      <c r="AW16">
        <f t="shared" si="22"/>
        <v>962.50292338710142</v>
      </c>
      <c r="AX16">
        <f t="shared" si="23"/>
        <v>217.30174766651086</v>
      </c>
      <c r="AY16">
        <f t="shared" si="24"/>
        <v>52.746666664000003</v>
      </c>
      <c r="AZ16">
        <f t="shared" si="25"/>
        <v>50.735870208573758</v>
      </c>
      <c r="BA16">
        <f t="shared" si="26"/>
        <v>5867.3066381269555</v>
      </c>
      <c r="BB16">
        <f t="shared" si="27"/>
        <v>17.319578436024834</v>
      </c>
      <c r="BC16">
        <f t="shared" si="28"/>
        <v>21509.806611911015</v>
      </c>
      <c r="BD16">
        <f t="shared" si="29"/>
        <v>788.56072961702091</v>
      </c>
      <c r="BE16">
        <f t="shared" si="30"/>
        <v>9625.0292338710133</v>
      </c>
      <c r="BF16">
        <f t="shared" si="31"/>
        <v>217.30174766651086</v>
      </c>
      <c r="BG16">
        <f t="shared" si="32"/>
        <v>65.933333329999996</v>
      </c>
      <c r="BH16">
        <f t="shared" si="33"/>
        <v>63.419837760717193</v>
      </c>
      <c r="BI16">
        <f t="shared" si="34"/>
        <v>32287.371072592301</v>
      </c>
    </row>
    <row r="17" spans="1:61">
      <c r="A17">
        <v>56</v>
      </c>
      <c r="B17">
        <v>3</v>
      </c>
      <c r="C17">
        <v>14</v>
      </c>
      <c r="D17" t="s">
        <v>112</v>
      </c>
      <c r="E17" t="s">
        <v>113</v>
      </c>
      <c r="F17">
        <v>17.319578436024834</v>
      </c>
      <c r="G17">
        <v>68058.145363408519</v>
      </c>
      <c r="H17">
        <v>202.43259745503372</v>
      </c>
      <c r="I17">
        <v>3804.495938339508</v>
      </c>
      <c r="J17">
        <v>99.883891008338736</v>
      </c>
      <c r="K17">
        <v>65.933333329999996</v>
      </c>
      <c r="L17">
        <v>3486.6439807383626</v>
      </c>
      <c r="M17">
        <f t="shared" si="0"/>
        <v>75734.854682715784</v>
      </c>
      <c r="N17">
        <f t="shared" si="1"/>
        <v>6.0618524526086919</v>
      </c>
      <c r="O17">
        <f t="shared" si="2"/>
        <v>13611.629072681704</v>
      </c>
      <c r="P17">
        <f t="shared" si="3"/>
        <v>70.851409109261795</v>
      </c>
      <c r="Q17">
        <f t="shared" si="4"/>
        <v>380.44959383395081</v>
      </c>
      <c r="R17">
        <f t="shared" si="5"/>
        <v>99.883891008338736</v>
      </c>
      <c r="S17">
        <f t="shared" si="6"/>
        <v>52.746666664000003</v>
      </c>
      <c r="T17">
        <f t="shared" si="7"/>
        <v>2789.3151845906905</v>
      </c>
      <c r="U17">
        <f t="shared" si="8"/>
        <v>17010.937670340558</v>
      </c>
      <c r="V17">
        <f t="shared" si="9"/>
        <v>1.7319578436024834</v>
      </c>
      <c r="W17">
        <f t="shared" si="10"/>
        <v>6805.8145363408521</v>
      </c>
      <c r="X17">
        <f t="shared" si="11"/>
        <v>20.243259745503373</v>
      </c>
      <c r="Y17">
        <f t="shared" si="12"/>
        <v>380.44959383395081</v>
      </c>
      <c r="Z17">
        <f t="shared" si="13"/>
        <v>99.883891008338736</v>
      </c>
      <c r="AA17">
        <f t="shared" si="14"/>
        <v>6.5933333330000004</v>
      </c>
      <c r="AB17">
        <f t="shared" si="15"/>
        <v>348.66439807383631</v>
      </c>
      <c r="AC17">
        <f t="shared" si="16"/>
        <v>7663.3809701790842</v>
      </c>
      <c r="AD17" s="92">
        <v>49.853643539516298</v>
      </c>
      <c r="AE17" s="92">
        <v>13430.278999877602</v>
      </c>
      <c r="AF17" s="92">
        <v>492.3610331874911</v>
      </c>
      <c r="AG17">
        <f>Tableau4[[#This Row],[KUVC rest. à emporter / traiteur]]</f>
        <v>3804.495938339508</v>
      </c>
      <c r="AH17">
        <v>99.883891008338736</v>
      </c>
      <c r="AI17">
        <v>2421.4626862050773</v>
      </c>
      <c r="AJ17">
        <v>39.59803686853008</v>
      </c>
      <c r="AK17">
        <f t="shared" si="17"/>
        <v>20337.934229026065</v>
      </c>
      <c r="AL17" s="92">
        <f>Tableau4[[#This Row],[KUVC Miel Conso]]*BC$94</f>
        <v>17.448775238830702</v>
      </c>
      <c r="AM17" s="92">
        <f>Tableau4[[#This Row],[KUVC ind. Lait.  Conso]]*BD$94</f>
        <v>2686.0557999755206</v>
      </c>
      <c r="AN17" s="92">
        <f>Tableau4[[#This Row],[KUVC fermiers   Conso]]*BE$94</f>
        <v>172.32636161562186</v>
      </c>
      <c r="AO17" s="92">
        <f>Tableau4[[#This Row],[KUVC rest. à emporter  Conso]]*BF$94</f>
        <v>380.44959383395081</v>
      </c>
      <c r="AP17" s="92">
        <f>Tableau4[[#This Row],[KUVC portage domicile  Conso]]*BG$94</f>
        <v>99.883891008338736</v>
      </c>
      <c r="AQ17" s="92">
        <f>Tableau4[[#This Row],[KUVC bière  Conso]]*BH$94</f>
        <v>1937.1701489640618</v>
      </c>
      <c r="AR17" s="92">
        <f>Tableau4[[#This Row],[KUVC cidricole  Conso]]*BI$94</f>
        <v>31.678429494824066</v>
      </c>
      <c r="AS17">
        <f t="shared" si="18"/>
        <v>5325.0130001311491</v>
      </c>
      <c r="AT17">
        <f t="shared" si="19"/>
        <v>6.0618524526086919</v>
      </c>
      <c r="AU17">
        <f t="shared" si="20"/>
        <v>2686.0557999755206</v>
      </c>
      <c r="AV17">
        <f t="shared" si="21"/>
        <v>70.851409109261795</v>
      </c>
      <c r="AW17">
        <f t="shared" si="22"/>
        <v>380.44959383395081</v>
      </c>
      <c r="AX17">
        <f t="shared" si="23"/>
        <v>99.883891008338736</v>
      </c>
      <c r="AY17">
        <f t="shared" si="24"/>
        <v>52.746666664000003</v>
      </c>
      <c r="AZ17">
        <f t="shared" si="25"/>
        <v>31.678429494824066</v>
      </c>
      <c r="BA17">
        <f t="shared" si="26"/>
        <v>3327.7276425385048</v>
      </c>
      <c r="BB17">
        <f t="shared" si="27"/>
        <v>17.319578436024834</v>
      </c>
      <c r="BC17">
        <f t="shared" si="28"/>
        <v>13430.278999877602</v>
      </c>
      <c r="BD17">
        <f t="shared" si="29"/>
        <v>202.43259745503372</v>
      </c>
      <c r="BE17">
        <f t="shared" si="30"/>
        <v>3804.495938339508</v>
      </c>
      <c r="BF17">
        <f t="shared" si="31"/>
        <v>99.883891008338736</v>
      </c>
      <c r="BG17">
        <f t="shared" si="32"/>
        <v>65.933333329999996</v>
      </c>
      <c r="BH17">
        <f t="shared" si="33"/>
        <v>39.59803686853008</v>
      </c>
      <c r="BI17">
        <f t="shared" si="34"/>
        <v>17659.942375315037</v>
      </c>
    </row>
    <row r="18" spans="1:61">
      <c r="A18">
        <v>60</v>
      </c>
      <c r="B18">
        <v>3</v>
      </c>
      <c r="C18">
        <v>14</v>
      </c>
      <c r="D18" t="s">
        <v>120</v>
      </c>
      <c r="E18" t="s">
        <v>121</v>
      </c>
      <c r="F18">
        <v>17.319578436024834</v>
      </c>
      <c r="G18">
        <v>68058.145363408519</v>
      </c>
      <c r="H18">
        <v>354.90102875252325</v>
      </c>
      <c r="I18">
        <v>2382.3536216348734</v>
      </c>
      <c r="J18">
        <v>53.009032374805855</v>
      </c>
      <c r="K18">
        <v>65.933333329999996</v>
      </c>
      <c r="L18">
        <v>3486.6439807383626</v>
      </c>
      <c r="M18">
        <f t="shared" si="0"/>
        <v>74418.305938675097</v>
      </c>
      <c r="N18">
        <f t="shared" si="1"/>
        <v>6.0618524526086919</v>
      </c>
      <c r="O18">
        <f t="shared" si="2"/>
        <v>13611.629072681704</v>
      </c>
      <c r="P18">
        <f t="shared" si="3"/>
        <v>124.21536006338313</v>
      </c>
      <c r="Q18">
        <f t="shared" si="4"/>
        <v>238.23536216348737</v>
      </c>
      <c r="R18">
        <f t="shared" si="5"/>
        <v>53.009032374805855</v>
      </c>
      <c r="S18">
        <f t="shared" si="6"/>
        <v>52.746666664000003</v>
      </c>
      <c r="T18">
        <f t="shared" si="7"/>
        <v>2789.3151845906905</v>
      </c>
      <c r="U18">
        <f t="shared" si="8"/>
        <v>16875.212530990677</v>
      </c>
      <c r="V18">
        <f t="shared" si="9"/>
        <v>1.7319578436024834</v>
      </c>
      <c r="W18">
        <f t="shared" si="10"/>
        <v>6805.8145363408521</v>
      </c>
      <c r="X18">
        <f t="shared" si="11"/>
        <v>35.490102875252326</v>
      </c>
      <c r="Y18">
        <f t="shared" si="12"/>
        <v>238.23536216348737</v>
      </c>
      <c r="Z18">
        <f t="shared" si="13"/>
        <v>53.009032374805855</v>
      </c>
      <c r="AA18">
        <f t="shared" si="14"/>
        <v>6.5933333330000004</v>
      </c>
      <c r="AB18">
        <f t="shared" si="15"/>
        <v>348.66439807383631</v>
      </c>
      <c r="AC18">
        <f t="shared" si="16"/>
        <v>7489.5387230048364</v>
      </c>
      <c r="AD18" s="92">
        <v>31.85281051175015</v>
      </c>
      <c r="AE18" s="92">
        <v>8580.9602213718026</v>
      </c>
      <c r="AF18" s="92">
        <v>314.58247742834584</v>
      </c>
      <c r="AG18">
        <f>Tableau4[[#This Row],[KUVC rest. à emporter / traiteur]]</f>
        <v>2382.3536216348734</v>
      </c>
      <c r="AH18">
        <v>53.009032374805855</v>
      </c>
      <c r="AI18">
        <v>1547.1365105707218</v>
      </c>
      <c r="AJ18">
        <v>25.30023234933298</v>
      </c>
      <c r="AK18">
        <f t="shared" si="17"/>
        <v>12935.194906241633</v>
      </c>
      <c r="AL18" s="92">
        <f>Tableau4[[#This Row],[KUVC Miel Conso]]*BC$94</f>
        <v>11.148483679112552</v>
      </c>
      <c r="AM18" s="92">
        <f>Tableau4[[#This Row],[KUVC ind. Lait.  Conso]]*BD$94</f>
        <v>1716.1920442743606</v>
      </c>
      <c r="AN18" s="92">
        <f>Tableau4[[#This Row],[KUVC fermiers   Conso]]*BE$94</f>
        <v>110.10386709992103</v>
      </c>
      <c r="AO18" s="92">
        <f>Tableau4[[#This Row],[KUVC rest. à emporter  Conso]]*BF$94</f>
        <v>238.23536216348737</v>
      </c>
      <c r="AP18" s="92">
        <f>Tableau4[[#This Row],[KUVC portage domicile  Conso]]*BG$94</f>
        <v>53.009032374805855</v>
      </c>
      <c r="AQ18" s="92">
        <f>Tableau4[[#This Row],[KUVC bière  Conso]]*BH$94</f>
        <v>1237.7092084565775</v>
      </c>
      <c r="AR18" s="92">
        <f>Tableau4[[#This Row],[KUVC cidricole  Conso]]*BI$94</f>
        <v>20.240185879466384</v>
      </c>
      <c r="AS18">
        <f t="shared" si="18"/>
        <v>3386.6381839277315</v>
      </c>
      <c r="AT18">
        <f t="shared" si="19"/>
        <v>6.0618524526086919</v>
      </c>
      <c r="AU18">
        <f t="shared" si="20"/>
        <v>1716.1920442743606</v>
      </c>
      <c r="AV18">
        <f t="shared" si="21"/>
        <v>110.10386709992103</v>
      </c>
      <c r="AW18">
        <f t="shared" si="22"/>
        <v>238.23536216348737</v>
      </c>
      <c r="AX18">
        <f t="shared" si="23"/>
        <v>53.009032374805855</v>
      </c>
      <c r="AY18">
        <f t="shared" si="24"/>
        <v>52.746666664000003</v>
      </c>
      <c r="AZ18">
        <f t="shared" si="25"/>
        <v>20.240185879466384</v>
      </c>
      <c r="BA18">
        <f t="shared" si="26"/>
        <v>2196.5890109086499</v>
      </c>
      <c r="BB18">
        <f t="shared" si="27"/>
        <v>17.319578436024834</v>
      </c>
      <c r="BC18">
        <f t="shared" si="28"/>
        <v>8580.9602213718026</v>
      </c>
      <c r="BD18">
        <f t="shared" si="29"/>
        <v>314.58247742834584</v>
      </c>
      <c r="BE18">
        <f t="shared" si="30"/>
        <v>2382.3536216348734</v>
      </c>
      <c r="BF18">
        <f t="shared" si="31"/>
        <v>53.009032374805855</v>
      </c>
      <c r="BG18">
        <f t="shared" si="32"/>
        <v>65.933333329999996</v>
      </c>
      <c r="BH18">
        <f t="shared" si="33"/>
        <v>25.30023234933298</v>
      </c>
      <c r="BI18">
        <f t="shared" si="34"/>
        <v>11439.458496925186</v>
      </c>
    </row>
    <row r="19" spans="1:61">
      <c r="A19">
        <v>32</v>
      </c>
      <c r="B19">
        <v>4</v>
      </c>
      <c r="C19">
        <v>14</v>
      </c>
      <c r="D19" t="s">
        <v>64</v>
      </c>
      <c r="E19" t="s">
        <v>65</v>
      </c>
      <c r="F19">
        <v>86.597892180124177</v>
      </c>
      <c r="G19">
        <v>26585.213032581447</v>
      </c>
      <c r="H19">
        <v>1173.2580530202833</v>
      </c>
      <c r="I19">
        <v>5668.7128605255366</v>
      </c>
      <c r="J19">
        <v>159.62422908153263</v>
      </c>
      <c r="K19">
        <v>164.83333332499998</v>
      </c>
      <c r="L19">
        <v>2201.6179775280898</v>
      </c>
      <c r="M19">
        <f t="shared" si="0"/>
        <v>36039.857378242014</v>
      </c>
      <c r="N19">
        <f t="shared" si="1"/>
        <v>30.309262263043461</v>
      </c>
      <c r="O19">
        <f t="shared" si="2"/>
        <v>5317.0426065162901</v>
      </c>
      <c r="P19">
        <f t="shared" si="3"/>
        <v>410.64031855709914</v>
      </c>
      <c r="Q19">
        <f t="shared" si="4"/>
        <v>566.87128605255373</v>
      </c>
      <c r="R19">
        <f t="shared" si="5"/>
        <v>159.62422908153263</v>
      </c>
      <c r="S19">
        <f t="shared" si="6"/>
        <v>131.86666665999999</v>
      </c>
      <c r="T19">
        <f t="shared" si="7"/>
        <v>1761.2943820224718</v>
      </c>
      <c r="U19">
        <f t="shared" si="8"/>
        <v>8377.6487511529922</v>
      </c>
      <c r="V19">
        <f t="shared" si="9"/>
        <v>8.6597892180124187</v>
      </c>
      <c r="W19">
        <f t="shared" si="10"/>
        <v>2658.5213032581451</v>
      </c>
      <c r="X19">
        <f t="shared" si="11"/>
        <v>117.32580530202834</v>
      </c>
      <c r="Y19">
        <f t="shared" si="12"/>
        <v>566.87128605255373</v>
      </c>
      <c r="Z19">
        <f t="shared" si="13"/>
        <v>159.62422908153263</v>
      </c>
      <c r="AA19">
        <f t="shared" si="14"/>
        <v>16.483333332499999</v>
      </c>
      <c r="AB19">
        <f t="shared" si="15"/>
        <v>220.16179775280898</v>
      </c>
      <c r="AC19">
        <f t="shared" si="16"/>
        <v>3747.6475439975811</v>
      </c>
      <c r="AD19" s="92">
        <v>45.973199775805014</v>
      </c>
      <c r="AE19" s="92">
        <v>12384.910222595188</v>
      </c>
      <c r="AF19" s="92">
        <v>454.03726856209465</v>
      </c>
      <c r="AG19">
        <f>Tableau4[[#This Row],[KUVC rest. à emporter / traiteur]]</f>
        <v>5668.7128605255366</v>
      </c>
      <c r="AH19">
        <v>159.62422908153263</v>
      </c>
      <c r="AI19">
        <v>2232.9839891105294</v>
      </c>
      <c r="AJ19">
        <v>36.515855821925122</v>
      </c>
      <c r="AK19">
        <f t="shared" si="17"/>
        <v>20982.757625472612</v>
      </c>
      <c r="AL19" s="92">
        <f>Tableau4[[#This Row],[KUVC Miel Conso]]*BC$94</f>
        <v>16.090619921531754</v>
      </c>
      <c r="AM19" s="92">
        <f>Tableau4[[#This Row],[KUVC ind. Lait.  Conso]]*BD$94</f>
        <v>2476.982044519038</v>
      </c>
      <c r="AN19" s="92">
        <f>Tableau4[[#This Row],[KUVC fermiers   Conso]]*BE$94</f>
        <v>158.91304399673311</v>
      </c>
      <c r="AO19" s="92">
        <f>Tableau4[[#This Row],[KUVC rest. à emporter  Conso]]*BF$94</f>
        <v>566.87128605255373</v>
      </c>
      <c r="AP19" s="92">
        <f>Tableau4[[#This Row],[KUVC portage domicile  Conso]]*BG$94</f>
        <v>159.62422908153263</v>
      </c>
      <c r="AQ19" s="92">
        <f>Tableau4[[#This Row],[KUVC bière  Conso]]*BH$94</f>
        <v>1786.3871912884235</v>
      </c>
      <c r="AR19" s="92">
        <f>Tableau4[[#This Row],[KUVC cidricole  Conso]]*BI$94</f>
        <v>29.212684657540098</v>
      </c>
      <c r="AS19">
        <f t="shared" si="18"/>
        <v>5194.0810995173533</v>
      </c>
      <c r="AT19">
        <f t="shared" si="19"/>
        <v>16.090619921531754</v>
      </c>
      <c r="AU19">
        <f t="shared" si="20"/>
        <v>2476.982044519038</v>
      </c>
      <c r="AV19">
        <f t="shared" si="21"/>
        <v>158.91304399673311</v>
      </c>
      <c r="AW19">
        <f t="shared" si="22"/>
        <v>566.87128605255373</v>
      </c>
      <c r="AX19">
        <f t="shared" si="23"/>
        <v>159.62422908153263</v>
      </c>
      <c r="AY19">
        <f t="shared" si="24"/>
        <v>131.86666665999999</v>
      </c>
      <c r="AZ19">
        <f t="shared" si="25"/>
        <v>29.212684657540098</v>
      </c>
      <c r="BA19">
        <f t="shared" si="26"/>
        <v>3539.5605748889298</v>
      </c>
      <c r="BB19">
        <f t="shared" si="27"/>
        <v>45.973199775805014</v>
      </c>
      <c r="BC19">
        <f t="shared" si="28"/>
        <v>12384.910222595188</v>
      </c>
      <c r="BD19">
        <f t="shared" si="29"/>
        <v>454.03726856209465</v>
      </c>
      <c r="BE19">
        <f t="shared" si="30"/>
        <v>5668.7128605255366</v>
      </c>
      <c r="BF19">
        <f t="shared" si="31"/>
        <v>159.62422908153263</v>
      </c>
      <c r="BG19">
        <f t="shared" si="32"/>
        <v>164.83333332499998</v>
      </c>
      <c r="BH19">
        <f t="shared" si="33"/>
        <v>36.515855821925122</v>
      </c>
      <c r="BI19">
        <f t="shared" si="34"/>
        <v>18914.606969687084</v>
      </c>
    </row>
    <row r="20" spans="1:61">
      <c r="A20">
        <v>37</v>
      </c>
      <c r="B20">
        <v>4</v>
      </c>
      <c r="C20">
        <v>14</v>
      </c>
      <c r="D20" t="s">
        <v>74</v>
      </c>
      <c r="E20" t="s">
        <v>75</v>
      </c>
      <c r="F20">
        <v>86.597892180124177</v>
      </c>
      <c r="G20">
        <v>26585.213032581447</v>
      </c>
      <c r="H20">
        <v>618.84578234383127</v>
      </c>
      <c r="I20">
        <v>3047.0651505738147</v>
      </c>
      <c r="J20">
        <v>58.111796371970996</v>
      </c>
      <c r="K20">
        <v>164.83333332499998</v>
      </c>
      <c r="L20">
        <v>2201.6179775280898</v>
      </c>
      <c r="M20">
        <f t="shared" si="0"/>
        <v>32762.28496490428</v>
      </c>
      <c r="N20">
        <f t="shared" si="1"/>
        <v>30.309262263043461</v>
      </c>
      <c r="O20">
        <f t="shared" si="2"/>
        <v>5317.0426065162901</v>
      </c>
      <c r="P20">
        <f t="shared" si="3"/>
        <v>216.59602382034095</v>
      </c>
      <c r="Q20">
        <f t="shared" si="4"/>
        <v>304.70651505738147</v>
      </c>
      <c r="R20">
        <f t="shared" si="5"/>
        <v>58.111796371970996</v>
      </c>
      <c r="S20">
        <f t="shared" si="6"/>
        <v>131.86666665999999</v>
      </c>
      <c r="T20">
        <f t="shared" si="7"/>
        <v>1761.2943820224718</v>
      </c>
      <c r="U20">
        <f t="shared" si="8"/>
        <v>7819.927252711499</v>
      </c>
      <c r="V20">
        <f t="shared" si="9"/>
        <v>8.6597892180124187</v>
      </c>
      <c r="W20">
        <f t="shared" si="10"/>
        <v>2658.5213032581451</v>
      </c>
      <c r="X20">
        <f t="shared" si="11"/>
        <v>61.884578234383127</v>
      </c>
      <c r="Y20">
        <f t="shared" si="12"/>
        <v>304.70651505738147</v>
      </c>
      <c r="Z20">
        <f t="shared" si="13"/>
        <v>58.111796371970996</v>
      </c>
      <c r="AA20">
        <f t="shared" si="14"/>
        <v>16.483333332499999</v>
      </c>
      <c r="AB20">
        <f t="shared" si="15"/>
        <v>220.16179775280898</v>
      </c>
      <c r="AC20">
        <f t="shared" si="16"/>
        <v>3328.5291132252028</v>
      </c>
      <c r="AD20" s="92">
        <v>22.040986145303343</v>
      </c>
      <c r="AE20" s="92">
        <v>5937.7123184431712</v>
      </c>
      <c r="AF20" s="92">
        <v>217.679630624607</v>
      </c>
      <c r="AG20">
        <f>Tableau4[[#This Row],[KUVC rest. à emporter / traiteur]]</f>
        <v>3047.0651505738147</v>
      </c>
      <c r="AH20">
        <v>58.111796371970996</v>
      </c>
      <c r="AI20">
        <v>1070.562184200448</v>
      </c>
      <c r="AJ20">
        <v>17.506840423983796</v>
      </c>
      <c r="AK20">
        <f t="shared" si="17"/>
        <v>10370.6789067833</v>
      </c>
      <c r="AL20" s="92">
        <f>Tableau4[[#This Row],[KUVC Miel Conso]]*BC$94</f>
        <v>7.7143451508561691</v>
      </c>
      <c r="AM20" s="92">
        <f>Tableau4[[#This Row],[KUVC ind. Lait.  Conso]]*BD$94</f>
        <v>1187.5424636886344</v>
      </c>
      <c r="AN20" s="92">
        <f>Tableau4[[#This Row],[KUVC fermiers   Conso]]*BE$94</f>
        <v>76.187870718612444</v>
      </c>
      <c r="AO20" s="92">
        <f>Tableau4[[#This Row],[KUVC rest. à emporter  Conso]]*BF$94</f>
        <v>304.70651505738147</v>
      </c>
      <c r="AP20" s="92">
        <f>Tableau4[[#This Row],[KUVC portage domicile  Conso]]*BG$94</f>
        <v>58.111796371970996</v>
      </c>
      <c r="AQ20" s="92">
        <f>Tableau4[[#This Row],[KUVC bière  Conso]]*BH$94</f>
        <v>856.4497473603584</v>
      </c>
      <c r="AR20" s="92">
        <f>Tableau4[[#This Row],[KUVC cidricole  Conso]]*BI$94</f>
        <v>14.005472339187037</v>
      </c>
      <c r="AS20">
        <f t="shared" si="18"/>
        <v>2504.7182106870009</v>
      </c>
      <c r="AT20">
        <f t="shared" si="19"/>
        <v>7.7143451508561691</v>
      </c>
      <c r="AU20">
        <f t="shared" si="20"/>
        <v>1187.5424636886344</v>
      </c>
      <c r="AV20">
        <f t="shared" si="21"/>
        <v>76.187870718612444</v>
      </c>
      <c r="AW20">
        <f t="shared" si="22"/>
        <v>304.70651505738147</v>
      </c>
      <c r="AX20">
        <f t="shared" si="23"/>
        <v>58.111796371970996</v>
      </c>
      <c r="AY20">
        <f t="shared" si="24"/>
        <v>131.86666665999999</v>
      </c>
      <c r="AZ20">
        <f t="shared" si="25"/>
        <v>14.005472339187037</v>
      </c>
      <c r="BA20">
        <f t="shared" si="26"/>
        <v>1780.1351299866424</v>
      </c>
      <c r="BB20">
        <f t="shared" si="27"/>
        <v>22.040986145303343</v>
      </c>
      <c r="BC20">
        <f t="shared" si="28"/>
        <v>5937.7123184431712</v>
      </c>
      <c r="BD20">
        <f t="shared" si="29"/>
        <v>217.679630624607</v>
      </c>
      <c r="BE20">
        <f t="shared" si="30"/>
        <v>3047.0651505738147</v>
      </c>
      <c r="BF20">
        <f t="shared" si="31"/>
        <v>58.111796371970996</v>
      </c>
      <c r="BG20">
        <f t="shared" si="32"/>
        <v>164.83333332499998</v>
      </c>
      <c r="BH20">
        <f t="shared" si="33"/>
        <v>17.506840423983796</v>
      </c>
      <c r="BI20">
        <f t="shared" si="34"/>
        <v>9464.9500559078515</v>
      </c>
    </row>
    <row r="21" spans="1:61">
      <c r="A21">
        <v>45</v>
      </c>
      <c r="B21">
        <v>1</v>
      </c>
      <c r="C21">
        <v>27</v>
      </c>
      <c r="D21" t="s">
        <v>90</v>
      </c>
      <c r="E21" t="s">
        <v>91</v>
      </c>
      <c r="F21">
        <v>20.180224263298221</v>
      </c>
      <c r="G21">
        <v>31902.255639097744</v>
      </c>
      <c r="H21">
        <v>226.48902906271059</v>
      </c>
      <c r="I21">
        <v>2704.2069149148947</v>
      </c>
      <c r="J21">
        <v>48.340546164633501</v>
      </c>
      <c r="K21">
        <v>1493.8020832578127</v>
      </c>
      <c r="L21">
        <v>359.44783306581058</v>
      </c>
      <c r="M21">
        <f t="shared" si="0"/>
        <v>36754.722269826903</v>
      </c>
      <c r="N21">
        <f t="shared" si="1"/>
        <v>7.0630784921543768</v>
      </c>
      <c r="O21">
        <f t="shared" si="2"/>
        <v>6380.4511278195496</v>
      </c>
      <c r="P21">
        <f t="shared" si="3"/>
        <v>79.271160171948694</v>
      </c>
      <c r="Q21">
        <f t="shared" si="4"/>
        <v>270.42069149148949</v>
      </c>
      <c r="R21">
        <f t="shared" si="5"/>
        <v>48.340546164633501</v>
      </c>
      <c r="S21">
        <f t="shared" si="6"/>
        <v>1195.0416666062501</v>
      </c>
      <c r="T21">
        <f t="shared" si="7"/>
        <v>287.55826645264847</v>
      </c>
      <c r="U21">
        <f t="shared" si="8"/>
        <v>8268.1465371986742</v>
      </c>
      <c r="V21">
        <f t="shared" si="9"/>
        <v>2.0180224263298223</v>
      </c>
      <c r="W21">
        <f t="shared" si="10"/>
        <v>3190.2255639097748</v>
      </c>
      <c r="X21">
        <f t="shared" si="11"/>
        <v>22.648902906271061</v>
      </c>
      <c r="Y21">
        <f t="shared" si="12"/>
        <v>270.42069149148949</v>
      </c>
      <c r="Z21">
        <f t="shared" si="13"/>
        <v>48.340546164633501</v>
      </c>
      <c r="AA21">
        <f t="shared" si="14"/>
        <v>149.38020832578127</v>
      </c>
      <c r="AB21">
        <f t="shared" si="15"/>
        <v>35.944783306581058</v>
      </c>
      <c r="AC21">
        <f t="shared" si="16"/>
        <v>3718.978718530861</v>
      </c>
      <c r="AD21" s="92">
        <v>21.121263658334314</v>
      </c>
      <c r="AE21" s="92">
        <v>5689.9444779108235</v>
      </c>
      <c r="AF21" s="92">
        <v>208.59633235833479</v>
      </c>
      <c r="AG21">
        <f>Tableau4[[#This Row],[KUVC rest. à emporter / traiteur]]</f>
        <v>2704.2069149148947</v>
      </c>
      <c r="AH21">
        <v>48.340546164633501</v>
      </c>
      <c r="AI21">
        <v>1025.889949119095</v>
      </c>
      <c r="AJ21">
        <v>16.776317991476969</v>
      </c>
      <c r="AK21">
        <f t="shared" si="17"/>
        <v>9714.8758021175927</v>
      </c>
      <c r="AL21" s="92">
        <f>Tableau4[[#This Row],[KUVC Miel Conso]]*BC$94</f>
        <v>7.3924422804170096</v>
      </c>
      <c r="AM21" s="92">
        <f>Tableau4[[#This Row],[KUVC ind. Lait.  Conso]]*BD$94</f>
        <v>1137.9888955821648</v>
      </c>
      <c r="AN21" s="92">
        <f>Tableau4[[#This Row],[KUVC fermiers   Conso]]*BE$94</f>
        <v>73.008716325417168</v>
      </c>
      <c r="AO21" s="92">
        <f>Tableau4[[#This Row],[KUVC rest. à emporter  Conso]]*BF$94</f>
        <v>270.42069149148949</v>
      </c>
      <c r="AP21" s="92">
        <f>Tableau4[[#This Row],[KUVC portage domicile  Conso]]*BG$94</f>
        <v>48.340546164633501</v>
      </c>
      <c r="AQ21" s="92">
        <f>Tableau4[[#This Row],[KUVC bière  Conso]]*BH$94</f>
        <v>820.71195929527607</v>
      </c>
      <c r="AR21" s="92">
        <f>Tableau4[[#This Row],[KUVC cidricole  Conso]]*BI$94</f>
        <v>13.421054393181576</v>
      </c>
      <c r="AS21">
        <f t="shared" si="18"/>
        <v>2371.2843055325798</v>
      </c>
      <c r="AT21">
        <f t="shared" si="19"/>
        <v>7.0630784921543768</v>
      </c>
      <c r="AU21">
        <f t="shared" si="20"/>
        <v>1137.9888955821648</v>
      </c>
      <c r="AV21">
        <f t="shared" si="21"/>
        <v>73.008716325417168</v>
      </c>
      <c r="AW21">
        <f t="shared" si="22"/>
        <v>270.42069149148949</v>
      </c>
      <c r="AX21">
        <f t="shared" si="23"/>
        <v>48.340546164633501</v>
      </c>
      <c r="AY21">
        <f t="shared" si="24"/>
        <v>820.71195929527607</v>
      </c>
      <c r="AZ21">
        <f t="shared" si="25"/>
        <v>13.421054393181576</v>
      </c>
      <c r="BA21">
        <f t="shared" si="26"/>
        <v>2370.9549417443172</v>
      </c>
      <c r="BB21">
        <f t="shared" si="27"/>
        <v>20.180224263298221</v>
      </c>
      <c r="BC21">
        <f t="shared" si="28"/>
        <v>5689.9444779108235</v>
      </c>
      <c r="BD21">
        <f t="shared" si="29"/>
        <v>208.59633235833479</v>
      </c>
      <c r="BE21">
        <f t="shared" si="30"/>
        <v>2704.2069149148947</v>
      </c>
      <c r="BF21">
        <f t="shared" si="31"/>
        <v>48.340546164633501</v>
      </c>
      <c r="BG21">
        <f t="shared" si="32"/>
        <v>1025.889949119095</v>
      </c>
      <c r="BH21">
        <f t="shared" si="33"/>
        <v>16.776317991476969</v>
      </c>
      <c r="BI21">
        <f t="shared" si="34"/>
        <v>9713.9347627225579</v>
      </c>
    </row>
    <row r="22" spans="1:61">
      <c r="A22">
        <v>51</v>
      </c>
      <c r="B22">
        <v>1</v>
      </c>
      <c r="C22">
        <v>27</v>
      </c>
      <c r="D22" t="s">
        <v>102</v>
      </c>
      <c r="E22" t="s">
        <v>103</v>
      </c>
      <c r="F22">
        <v>20.180224263298221</v>
      </c>
      <c r="G22">
        <v>31902.255639097744</v>
      </c>
      <c r="H22">
        <v>280.593498208867</v>
      </c>
      <c r="I22">
        <v>4612.6084246058217</v>
      </c>
      <c r="J22">
        <v>71.574407768747079</v>
      </c>
      <c r="K22">
        <v>1493.8020832578127</v>
      </c>
      <c r="L22">
        <v>359.44783306581058</v>
      </c>
      <c r="M22">
        <f t="shared" si="0"/>
        <v>38740.462110268098</v>
      </c>
      <c r="N22">
        <f t="shared" si="1"/>
        <v>7.0630784921543768</v>
      </c>
      <c r="O22">
        <f t="shared" si="2"/>
        <v>6380.4511278195496</v>
      </c>
      <c r="P22">
        <f t="shared" si="3"/>
        <v>98.207724373103446</v>
      </c>
      <c r="Q22">
        <f t="shared" si="4"/>
        <v>461.26084246058218</v>
      </c>
      <c r="R22">
        <f t="shared" si="5"/>
        <v>71.574407768747079</v>
      </c>
      <c r="S22">
        <f t="shared" si="6"/>
        <v>1195.0416666062501</v>
      </c>
      <c r="T22">
        <f t="shared" si="7"/>
        <v>287.55826645264847</v>
      </c>
      <c r="U22">
        <f t="shared" si="8"/>
        <v>8501.1571139730349</v>
      </c>
      <c r="V22">
        <f t="shared" si="9"/>
        <v>2.0180224263298223</v>
      </c>
      <c r="W22">
        <f t="shared" si="10"/>
        <v>3190.2255639097748</v>
      </c>
      <c r="X22">
        <f t="shared" si="11"/>
        <v>28.059349820886702</v>
      </c>
      <c r="Y22">
        <f t="shared" si="12"/>
        <v>461.26084246058218</v>
      </c>
      <c r="Z22">
        <f t="shared" si="13"/>
        <v>71.574407768747079</v>
      </c>
      <c r="AA22">
        <f t="shared" si="14"/>
        <v>149.38020832578127</v>
      </c>
      <c r="AB22">
        <f t="shared" si="15"/>
        <v>35.944783306581058</v>
      </c>
      <c r="AC22">
        <f t="shared" si="16"/>
        <v>3938.4631780186833</v>
      </c>
      <c r="AD22" s="92">
        <v>30.071891667560852</v>
      </c>
      <c r="AE22" s="92">
        <v>8101.1911361966504</v>
      </c>
      <c r="AF22" s="92">
        <v>296.99389252475532</v>
      </c>
      <c r="AG22">
        <f>Tableau4[[#This Row],[KUVC rest. à emporter / traiteur]]</f>
        <v>4612.6084246058217</v>
      </c>
      <c r="AH22">
        <v>71.574407768747079</v>
      </c>
      <c r="AI22">
        <v>1460.6347381386699</v>
      </c>
      <c r="AJ22">
        <v>23.885673953091189</v>
      </c>
      <c r="AK22">
        <f t="shared" si="17"/>
        <v>14596.960164855296</v>
      </c>
      <c r="AL22" s="92">
        <f>Tableau4[[#This Row],[KUVC Miel Conso]]*BC$94</f>
        <v>10.525162083646297</v>
      </c>
      <c r="AM22" s="92">
        <f>Tableau4[[#This Row],[KUVC ind. Lait.  Conso]]*BD$94</f>
        <v>1620.2382272393302</v>
      </c>
      <c r="AN22" s="92">
        <f>Tableau4[[#This Row],[KUVC fermiers   Conso]]*BE$94</f>
        <v>103.94786238366436</v>
      </c>
      <c r="AO22" s="92">
        <f>Tableau4[[#This Row],[KUVC rest. à emporter  Conso]]*BF$94</f>
        <v>461.26084246058218</v>
      </c>
      <c r="AP22" s="92">
        <f>Tableau4[[#This Row],[KUVC portage domicile  Conso]]*BG$94</f>
        <v>71.574407768747079</v>
      </c>
      <c r="AQ22" s="92">
        <f>Tableau4[[#This Row],[KUVC bière  Conso]]*BH$94</f>
        <v>1168.507790510936</v>
      </c>
      <c r="AR22" s="92">
        <f>Tableau4[[#This Row],[KUVC cidricole  Conso]]*BI$94</f>
        <v>19.108539162472951</v>
      </c>
      <c r="AS22">
        <f t="shared" si="18"/>
        <v>3455.1628316093793</v>
      </c>
      <c r="AT22">
        <f t="shared" si="19"/>
        <v>7.0630784921543768</v>
      </c>
      <c r="AU22">
        <f t="shared" si="20"/>
        <v>1620.2382272393302</v>
      </c>
      <c r="AV22">
        <f t="shared" si="21"/>
        <v>98.207724373103446</v>
      </c>
      <c r="AW22">
        <f t="shared" si="22"/>
        <v>461.26084246058218</v>
      </c>
      <c r="AX22">
        <f t="shared" si="23"/>
        <v>71.574407768747079</v>
      </c>
      <c r="AY22">
        <f t="shared" si="24"/>
        <v>1168.507790510936</v>
      </c>
      <c r="AZ22">
        <f t="shared" si="25"/>
        <v>19.108539162472951</v>
      </c>
      <c r="BA22">
        <f t="shared" si="26"/>
        <v>3445.9606100073265</v>
      </c>
      <c r="BB22">
        <f t="shared" si="27"/>
        <v>20.180224263298221</v>
      </c>
      <c r="BC22">
        <f t="shared" si="28"/>
        <v>8101.1911361966504</v>
      </c>
      <c r="BD22">
        <f t="shared" si="29"/>
        <v>280.593498208867</v>
      </c>
      <c r="BE22">
        <f t="shared" si="30"/>
        <v>4612.6084246058217</v>
      </c>
      <c r="BF22">
        <f t="shared" si="31"/>
        <v>71.574407768747079</v>
      </c>
      <c r="BG22">
        <f t="shared" si="32"/>
        <v>1460.6347381386699</v>
      </c>
      <c r="BH22">
        <f t="shared" si="33"/>
        <v>23.885673953091189</v>
      </c>
      <c r="BI22">
        <f t="shared" si="34"/>
        <v>14570.668103135145</v>
      </c>
    </row>
    <row r="23" spans="1:61">
      <c r="A23">
        <v>52</v>
      </c>
      <c r="B23">
        <v>1</v>
      </c>
      <c r="C23">
        <v>27</v>
      </c>
      <c r="D23" t="s">
        <v>104</v>
      </c>
      <c r="E23" t="s">
        <v>105</v>
      </c>
      <c r="F23">
        <v>20.180224263298221</v>
      </c>
      <c r="G23">
        <v>31902.255639097744</v>
      </c>
      <c r="H23">
        <v>431.5908468212657</v>
      </c>
      <c r="I23">
        <v>12788.244539145402</v>
      </c>
      <c r="J23">
        <v>194.88215691300874</v>
      </c>
      <c r="K23">
        <v>1493.8020832578127</v>
      </c>
      <c r="L23">
        <v>359.44783306581058</v>
      </c>
      <c r="M23">
        <f t="shared" si="0"/>
        <v>47190.403322564336</v>
      </c>
      <c r="N23">
        <f t="shared" si="1"/>
        <v>7.0630784921543768</v>
      </c>
      <c r="O23">
        <f t="shared" si="2"/>
        <v>6380.4511278195496</v>
      </c>
      <c r="P23">
        <f t="shared" si="3"/>
        <v>151.05679638744297</v>
      </c>
      <c r="Q23">
        <f t="shared" si="4"/>
        <v>1278.8244539145403</v>
      </c>
      <c r="R23">
        <f t="shared" si="5"/>
        <v>194.88215691300874</v>
      </c>
      <c r="S23">
        <f t="shared" si="6"/>
        <v>1195.0416666062501</v>
      </c>
      <c r="T23">
        <f t="shared" si="7"/>
        <v>287.55826645264847</v>
      </c>
      <c r="U23">
        <f t="shared" si="8"/>
        <v>9494.8775465855942</v>
      </c>
      <c r="V23">
        <f t="shared" si="9"/>
        <v>2.0180224263298223</v>
      </c>
      <c r="W23">
        <f t="shared" si="10"/>
        <v>3190.2255639097748</v>
      </c>
      <c r="X23">
        <f t="shared" si="11"/>
        <v>43.159084682126576</v>
      </c>
      <c r="Y23">
        <f t="shared" si="12"/>
        <v>1278.8244539145403</v>
      </c>
      <c r="Z23">
        <f t="shared" si="13"/>
        <v>194.88215691300874</v>
      </c>
      <c r="AA23">
        <f t="shared" si="14"/>
        <v>149.38020832578127</v>
      </c>
      <c r="AB23">
        <f t="shared" si="15"/>
        <v>35.944783306581058</v>
      </c>
      <c r="AC23">
        <f t="shared" si="16"/>
        <v>4894.434273478143</v>
      </c>
      <c r="AD23" s="92">
        <v>96.344672650863615</v>
      </c>
      <c r="AE23" s="92">
        <v>25954.689406549445</v>
      </c>
      <c r="AF23" s="92">
        <v>951.51245125924618</v>
      </c>
      <c r="AG23">
        <f>Tableau4[[#This Row],[KUVC rest. à emporter / traiteur]]</f>
        <v>12788.244539145402</v>
      </c>
      <c r="AH23">
        <v>194.88215691300874</v>
      </c>
      <c r="AI23">
        <v>4679.5983858990903</v>
      </c>
      <c r="AJ23">
        <v>76.525197134114535</v>
      </c>
      <c r="AK23">
        <f t="shared" si="17"/>
        <v>44741.796809551161</v>
      </c>
      <c r="AL23" s="92">
        <f>Tableau4[[#This Row],[KUVC Miel Conso]]*BC$94</f>
        <v>33.720635427802264</v>
      </c>
      <c r="AM23" s="92">
        <f>Tableau4[[#This Row],[KUVC ind. Lait.  Conso]]*BD$94</f>
        <v>5190.9378813098892</v>
      </c>
      <c r="AN23" s="92">
        <f>Tableau4[[#This Row],[KUVC fermiers   Conso]]*BE$94</f>
        <v>333.02935794073613</v>
      </c>
      <c r="AO23" s="92">
        <f>Tableau4[[#This Row],[KUVC rest. à emporter  Conso]]*BF$94</f>
        <v>1278.8244539145403</v>
      </c>
      <c r="AP23" s="92">
        <f>Tableau4[[#This Row],[KUVC portage domicile  Conso]]*BG$94</f>
        <v>194.88215691300874</v>
      </c>
      <c r="AQ23" s="92">
        <f>Tableau4[[#This Row],[KUVC bière  Conso]]*BH$94</f>
        <v>3743.6787087192724</v>
      </c>
      <c r="AR23" s="92">
        <f>Tableau4[[#This Row],[KUVC cidricole  Conso]]*BI$94</f>
        <v>61.220157707291634</v>
      </c>
      <c r="AS23">
        <f t="shared" si="18"/>
        <v>10836.293351932542</v>
      </c>
      <c r="AT23">
        <f t="shared" si="19"/>
        <v>7.0630784921543768</v>
      </c>
      <c r="AU23">
        <f t="shared" si="20"/>
        <v>5190.9378813098892</v>
      </c>
      <c r="AV23">
        <f t="shared" si="21"/>
        <v>151.05679638744297</v>
      </c>
      <c r="AW23">
        <f t="shared" si="22"/>
        <v>1278.8244539145403</v>
      </c>
      <c r="AX23">
        <f t="shared" si="23"/>
        <v>194.88215691300874</v>
      </c>
      <c r="AY23">
        <f t="shared" si="24"/>
        <v>1195.0416666062501</v>
      </c>
      <c r="AZ23">
        <f t="shared" si="25"/>
        <v>61.220157707291634</v>
      </c>
      <c r="BA23">
        <f t="shared" si="26"/>
        <v>8079.0261913305767</v>
      </c>
      <c r="BB23">
        <f t="shared" si="27"/>
        <v>20.180224263298221</v>
      </c>
      <c r="BC23">
        <f t="shared" si="28"/>
        <v>25954.689406549445</v>
      </c>
      <c r="BD23">
        <f t="shared" si="29"/>
        <v>431.5908468212657</v>
      </c>
      <c r="BE23">
        <f t="shared" si="30"/>
        <v>12788.244539145402</v>
      </c>
      <c r="BF23">
        <f t="shared" si="31"/>
        <v>194.88215691300874</v>
      </c>
      <c r="BG23">
        <f t="shared" si="32"/>
        <v>1493.8020832578127</v>
      </c>
      <c r="BH23">
        <f t="shared" si="33"/>
        <v>76.525197134114535</v>
      </c>
      <c r="BI23">
        <f t="shared" si="34"/>
        <v>40959.914454084341</v>
      </c>
    </row>
    <row r="24" spans="1:61">
      <c r="A24">
        <v>55</v>
      </c>
      <c r="B24">
        <v>1</v>
      </c>
      <c r="C24">
        <v>27</v>
      </c>
      <c r="D24" t="s">
        <v>110</v>
      </c>
      <c r="E24" t="s">
        <v>111</v>
      </c>
      <c r="F24">
        <v>20.180224263298221</v>
      </c>
      <c r="G24">
        <v>31902.255639097744</v>
      </c>
      <c r="H24">
        <v>472.41019797183418</v>
      </c>
      <c r="I24">
        <v>20561.872131279513</v>
      </c>
      <c r="J24">
        <v>193.93217425396199</v>
      </c>
      <c r="K24">
        <v>1493.8020832578127</v>
      </c>
      <c r="L24">
        <v>359.44783306581058</v>
      </c>
      <c r="M24">
        <f t="shared" si="0"/>
        <v>55003.900283189971</v>
      </c>
      <c r="N24">
        <f t="shared" si="1"/>
        <v>7.0630784921543768</v>
      </c>
      <c r="O24">
        <f t="shared" si="2"/>
        <v>6380.4511278195496</v>
      </c>
      <c r="P24">
        <f t="shared" si="3"/>
        <v>165.34356929014194</v>
      </c>
      <c r="Q24">
        <f t="shared" si="4"/>
        <v>2056.1872131279515</v>
      </c>
      <c r="R24">
        <f t="shared" si="5"/>
        <v>193.93217425396199</v>
      </c>
      <c r="S24">
        <f t="shared" si="6"/>
        <v>1195.0416666062501</v>
      </c>
      <c r="T24">
        <f t="shared" si="7"/>
        <v>287.55826645264847</v>
      </c>
      <c r="U24">
        <f t="shared" si="8"/>
        <v>10285.577096042658</v>
      </c>
      <c r="V24">
        <f t="shared" si="9"/>
        <v>2.0180224263298223</v>
      </c>
      <c r="W24">
        <f t="shared" si="10"/>
        <v>3190.2255639097748</v>
      </c>
      <c r="X24">
        <f t="shared" si="11"/>
        <v>47.241019797183419</v>
      </c>
      <c r="Y24">
        <f t="shared" si="12"/>
        <v>2056.1872131279515</v>
      </c>
      <c r="Z24">
        <f t="shared" si="13"/>
        <v>193.93217425396199</v>
      </c>
      <c r="AA24">
        <f t="shared" si="14"/>
        <v>149.38020832578127</v>
      </c>
      <c r="AB24">
        <f t="shared" si="15"/>
        <v>35.944783306581058</v>
      </c>
      <c r="AC24">
        <f t="shared" si="16"/>
        <v>5674.9289851475651</v>
      </c>
      <c r="AD24" s="92">
        <v>96.261165605894149</v>
      </c>
      <c r="AE24" s="92">
        <v>25932.193098701726</v>
      </c>
      <c r="AF24" s="92">
        <v>950.68772487977878</v>
      </c>
      <c r="AG24">
        <f>Tableau4[[#This Row],[KUVC rest. à emporter / traiteur]]</f>
        <v>20561.872131279513</v>
      </c>
      <c r="AH24">
        <v>193.93217425396199</v>
      </c>
      <c r="AI24">
        <v>4675.542329429144</v>
      </c>
      <c r="AJ24">
        <v>76.458868681253065</v>
      </c>
      <c r="AK24">
        <f t="shared" si="17"/>
        <v>52486.94749283127</v>
      </c>
      <c r="AL24" s="92">
        <f>Tableau4[[#This Row],[KUVC Miel Conso]]*BC$94</f>
        <v>33.691407962062947</v>
      </c>
      <c r="AM24" s="92">
        <f>Tableau4[[#This Row],[KUVC ind. Lait.  Conso]]*BD$94</f>
        <v>5186.4386197403455</v>
      </c>
      <c r="AN24" s="92">
        <f>Tableau4[[#This Row],[KUVC fermiers   Conso]]*BE$94</f>
        <v>332.74070370792253</v>
      </c>
      <c r="AO24" s="92">
        <f>Tableau4[[#This Row],[KUVC rest. à emporter  Conso]]*BF$94</f>
        <v>2056.1872131279515</v>
      </c>
      <c r="AP24" s="92">
        <f>Tableau4[[#This Row],[KUVC portage domicile  Conso]]*BG$94</f>
        <v>193.93217425396199</v>
      </c>
      <c r="AQ24" s="92">
        <f>Tableau4[[#This Row],[KUVC bière  Conso]]*BH$94</f>
        <v>3740.4338635433155</v>
      </c>
      <c r="AR24" s="92">
        <f>Tableau4[[#This Row],[KUVC cidricole  Conso]]*BI$94</f>
        <v>61.167094945002454</v>
      </c>
      <c r="AS24">
        <f t="shared" si="18"/>
        <v>11604.591077280562</v>
      </c>
      <c r="AT24">
        <f t="shared" si="19"/>
        <v>7.0630784921543768</v>
      </c>
      <c r="AU24">
        <f t="shared" si="20"/>
        <v>5186.4386197403455</v>
      </c>
      <c r="AV24">
        <f t="shared" si="21"/>
        <v>165.34356929014194</v>
      </c>
      <c r="AW24">
        <f t="shared" si="22"/>
        <v>2056.1872131279515</v>
      </c>
      <c r="AX24">
        <f t="shared" si="23"/>
        <v>193.93217425396199</v>
      </c>
      <c r="AY24">
        <f t="shared" si="24"/>
        <v>1195.0416666062501</v>
      </c>
      <c r="AZ24">
        <f t="shared" si="25"/>
        <v>61.167094945002454</v>
      </c>
      <c r="BA24">
        <f t="shared" si="26"/>
        <v>8865.1734164558075</v>
      </c>
      <c r="BB24">
        <f t="shared" si="27"/>
        <v>20.180224263298221</v>
      </c>
      <c r="BC24">
        <f t="shared" si="28"/>
        <v>25932.193098701726</v>
      </c>
      <c r="BD24">
        <f t="shared" si="29"/>
        <v>472.41019797183418</v>
      </c>
      <c r="BE24">
        <f t="shared" si="30"/>
        <v>20561.872131279513</v>
      </c>
      <c r="BF24">
        <f t="shared" si="31"/>
        <v>193.93217425396199</v>
      </c>
      <c r="BG24">
        <f t="shared" si="32"/>
        <v>1493.8020832578127</v>
      </c>
      <c r="BH24">
        <f t="shared" si="33"/>
        <v>76.458868681253065</v>
      </c>
      <c r="BI24">
        <f t="shared" si="34"/>
        <v>48750.848778409396</v>
      </c>
    </row>
    <row r="25" spans="1:61">
      <c r="A25">
        <v>14</v>
      </c>
      <c r="B25">
        <v>2</v>
      </c>
      <c r="C25">
        <v>27</v>
      </c>
      <c r="D25" t="s">
        <v>28</v>
      </c>
      <c r="E25" t="s">
        <v>29</v>
      </c>
      <c r="F25">
        <v>13.453482842198815</v>
      </c>
      <c r="G25">
        <v>2126.8170426065167</v>
      </c>
      <c r="H25">
        <v>309.25858956915192</v>
      </c>
      <c r="I25">
        <v>4717.5061544808941</v>
      </c>
      <c r="J25">
        <v>80.097109338480337</v>
      </c>
      <c r="K25">
        <v>27.472222220833331</v>
      </c>
      <c r="L25">
        <v>1332.952380952381</v>
      </c>
      <c r="M25">
        <f t="shared" si="0"/>
        <v>8607.5569820104556</v>
      </c>
      <c r="N25">
        <f t="shared" si="1"/>
        <v>4.7087189947695851</v>
      </c>
      <c r="O25">
        <f t="shared" si="2"/>
        <v>425.36340852130337</v>
      </c>
      <c r="P25">
        <f t="shared" si="3"/>
        <v>108.24050634920317</v>
      </c>
      <c r="Q25">
        <f t="shared" si="4"/>
        <v>471.75061544808943</v>
      </c>
      <c r="R25">
        <f t="shared" si="5"/>
        <v>80.097109338480337</v>
      </c>
      <c r="S25">
        <f t="shared" si="6"/>
        <v>21.977777776666667</v>
      </c>
      <c r="T25">
        <f t="shared" si="7"/>
        <v>1066.3619047619047</v>
      </c>
      <c r="U25">
        <f t="shared" si="8"/>
        <v>2178.5000411904175</v>
      </c>
      <c r="V25">
        <f t="shared" si="9"/>
        <v>1.3453482842198816</v>
      </c>
      <c r="W25">
        <f t="shared" si="10"/>
        <v>212.68170426065168</v>
      </c>
      <c r="X25">
        <f t="shared" si="11"/>
        <v>30.925858956915192</v>
      </c>
      <c r="Y25">
        <f t="shared" si="12"/>
        <v>471.75061544808943</v>
      </c>
      <c r="Z25">
        <f t="shared" si="13"/>
        <v>80.097109338480337</v>
      </c>
      <c r="AA25">
        <f t="shared" si="14"/>
        <v>2.7472222220833333</v>
      </c>
      <c r="AB25">
        <f t="shared" si="15"/>
        <v>133.29523809523809</v>
      </c>
      <c r="AC25">
        <f t="shared" si="16"/>
        <v>932.84309660567794</v>
      </c>
      <c r="AD25" s="92">
        <v>31.882297208484246</v>
      </c>
      <c r="AE25" s="92">
        <v>8588.9037644271812</v>
      </c>
      <c r="AF25" s="92">
        <v>314.87369186000075</v>
      </c>
      <c r="AG25">
        <f>Tableau4[[#This Row],[KUVC rest. à emporter / traiteur]]</f>
        <v>4717.5061544808941</v>
      </c>
      <c r="AH25">
        <v>80.097109338480337</v>
      </c>
      <c r="AI25">
        <v>1548.5687215549492</v>
      </c>
      <c r="AJ25">
        <v>25.323653211310347</v>
      </c>
      <c r="AK25">
        <f t="shared" si="17"/>
        <v>15307.155392081298</v>
      </c>
      <c r="AL25" s="92">
        <f>Tableau4[[#This Row],[KUVC Miel Conso]]*BC$94</f>
        <v>11.158804022969486</v>
      </c>
      <c r="AM25" s="92">
        <f>Tableau4[[#This Row],[KUVC ind. Lait.  Conso]]*BD$94</f>
        <v>1717.7807528854364</v>
      </c>
      <c r="AN25" s="92">
        <f>Tableau4[[#This Row],[KUVC fermiers   Conso]]*BE$94</f>
        <v>110.20579215100025</v>
      </c>
      <c r="AO25" s="92">
        <f>Tableau4[[#This Row],[KUVC rest. à emporter  Conso]]*BF$94</f>
        <v>471.75061544808943</v>
      </c>
      <c r="AP25" s="92">
        <f>Tableau4[[#This Row],[KUVC portage domicile  Conso]]*BG$94</f>
        <v>80.097109338480337</v>
      </c>
      <c r="AQ25" s="92">
        <f>Tableau4[[#This Row],[KUVC bière  Conso]]*BH$94</f>
        <v>1238.8549772439594</v>
      </c>
      <c r="AR25" s="92">
        <f>Tableau4[[#This Row],[KUVC cidricole  Conso]]*BI$94</f>
        <v>20.258922569048281</v>
      </c>
      <c r="AS25">
        <f t="shared" si="18"/>
        <v>3650.1069736589834</v>
      </c>
      <c r="AT25">
        <f t="shared" si="19"/>
        <v>4.7087189947695851</v>
      </c>
      <c r="AU25">
        <f t="shared" si="20"/>
        <v>425.36340852130337</v>
      </c>
      <c r="AV25">
        <f t="shared" si="21"/>
        <v>108.24050634920317</v>
      </c>
      <c r="AW25">
        <f t="shared" si="22"/>
        <v>471.75061544808943</v>
      </c>
      <c r="AX25">
        <f t="shared" si="23"/>
        <v>80.097109338480337</v>
      </c>
      <c r="AY25">
        <f t="shared" si="24"/>
        <v>21.977777776666667</v>
      </c>
      <c r="AZ25">
        <f t="shared" si="25"/>
        <v>20.258922569048281</v>
      </c>
      <c r="BA25">
        <f t="shared" si="26"/>
        <v>1132.3970589975609</v>
      </c>
      <c r="BB25">
        <f t="shared" si="27"/>
        <v>13.453482842198815</v>
      </c>
      <c r="BC25">
        <f t="shared" si="28"/>
        <v>2126.8170426065167</v>
      </c>
      <c r="BD25">
        <f t="shared" si="29"/>
        <v>309.25858956915192</v>
      </c>
      <c r="BE25">
        <f t="shared" si="30"/>
        <v>4717.5061544808941</v>
      </c>
      <c r="BF25">
        <f t="shared" si="31"/>
        <v>80.097109338480337</v>
      </c>
      <c r="BG25">
        <f t="shared" si="32"/>
        <v>27.472222220833331</v>
      </c>
      <c r="BH25">
        <f t="shared" si="33"/>
        <v>25.323653211310347</v>
      </c>
      <c r="BI25">
        <f t="shared" si="34"/>
        <v>7299.9282542693854</v>
      </c>
    </row>
    <row r="26" spans="1:61">
      <c r="A26">
        <v>15</v>
      </c>
      <c r="B26">
        <v>2</v>
      </c>
      <c r="C26">
        <v>27</v>
      </c>
      <c r="D26" t="s">
        <v>30</v>
      </c>
      <c r="E26" t="s">
        <v>31</v>
      </c>
      <c r="F26">
        <v>13.453482842198815</v>
      </c>
      <c r="G26">
        <v>2126.8170426065167</v>
      </c>
      <c r="H26">
        <v>408.60020203046776</v>
      </c>
      <c r="I26">
        <v>2400.5082518043769</v>
      </c>
      <c r="J26">
        <v>49.670521887298875</v>
      </c>
      <c r="K26">
        <v>27.472222220833331</v>
      </c>
      <c r="L26">
        <v>1332.952380952381</v>
      </c>
      <c r="M26">
        <f t="shared" si="0"/>
        <v>6359.4741043440717</v>
      </c>
      <c r="N26">
        <f t="shared" si="1"/>
        <v>4.7087189947695851</v>
      </c>
      <c r="O26">
        <f t="shared" si="2"/>
        <v>425.36340852130337</v>
      </c>
      <c r="P26">
        <f t="shared" si="3"/>
        <v>143.01007071066371</v>
      </c>
      <c r="Q26">
        <f t="shared" si="4"/>
        <v>240.0508251804377</v>
      </c>
      <c r="R26">
        <f t="shared" si="5"/>
        <v>49.670521887298875</v>
      </c>
      <c r="S26">
        <f t="shared" si="6"/>
        <v>21.977777776666667</v>
      </c>
      <c r="T26">
        <f t="shared" si="7"/>
        <v>1066.3619047619047</v>
      </c>
      <c r="U26">
        <f t="shared" si="8"/>
        <v>1951.1432278330444</v>
      </c>
      <c r="V26">
        <f t="shared" si="9"/>
        <v>1.3453482842198816</v>
      </c>
      <c r="W26">
        <f t="shared" si="10"/>
        <v>212.68170426065168</v>
      </c>
      <c r="X26">
        <f t="shared" si="11"/>
        <v>40.86002020304678</v>
      </c>
      <c r="Y26">
        <f t="shared" si="12"/>
        <v>240.0508251804377</v>
      </c>
      <c r="Z26">
        <f t="shared" si="13"/>
        <v>49.670521887298875</v>
      </c>
      <c r="AA26">
        <f t="shared" si="14"/>
        <v>2.7472222220833333</v>
      </c>
      <c r="AB26">
        <f t="shared" si="15"/>
        <v>133.29523809523809</v>
      </c>
      <c r="AC26">
        <f t="shared" si="16"/>
        <v>680.65088013297634</v>
      </c>
      <c r="AD26" s="92">
        <v>20.430207216197363</v>
      </c>
      <c r="AE26" s="92">
        <v>5503.777927913221</v>
      </c>
      <c r="AF26" s="92">
        <v>201.77136953346681</v>
      </c>
      <c r="AG26">
        <f>Tableau4[[#This Row],[KUVC rest. à emporter / traiteur]]</f>
        <v>2400.5082518043769</v>
      </c>
      <c r="AH26">
        <v>49.670521887298875</v>
      </c>
      <c r="AI26">
        <v>992.32435050101481</v>
      </c>
      <c r="AJ26">
        <v>16.227421731722476</v>
      </c>
      <c r="AK26">
        <f t="shared" si="17"/>
        <v>9184.7100505872986</v>
      </c>
      <c r="AL26" s="92">
        <f>Tableau4[[#This Row],[KUVC Miel Conso]]*BC$94</f>
        <v>7.1505725256690766</v>
      </c>
      <c r="AM26" s="92">
        <f>Tableau4[[#This Row],[KUVC ind. Lait.  Conso]]*BD$94</f>
        <v>1100.7555855826442</v>
      </c>
      <c r="AN26" s="92">
        <f>Tableau4[[#This Row],[KUVC fermiers   Conso]]*BE$94</f>
        <v>70.619979336713385</v>
      </c>
      <c r="AO26" s="92">
        <f>Tableau4[[#This Row],[KUVC rest. à emporter  Conso]]*BF$94</f>
        <v>240.0508251804377</v>
      </c>
      <c r="AP26" s="92">
        <f>Tableau4[[#This Row],[KUVC portage domicile  Conso]]*BG$94</f>
        <v>49.670521887298875</v>
      </c>
      <c r="AQ26" s="92">
        <f>Tableau4[[#This Row],[KUVC bière  Conso]]*BH$94</f>
        <v>793.85948040081189</v>
      </c>
      <c r="AR26" s="92">
        <f>Tableau4[[#This Row],[KUVC cidricole  Conso]]*BI$94</f>
        <v>12.981937385377982</v>
      </c>
      <c r="AS26">
        <f t="shared" si="18"/>
        <v>2275.0889022989531</v>
      </c>
      <c r="AT26">
        <f t="shared" si="19"/>
        <v>4.7087189947695851</v>
      </c>
      <c r="AU26">
        <f t="shared" si="20"/>
        <v>425.36340852130337</v>
      </c>
      <c r="AV26">
        <f t="shared" si="21"/>
        <v>70.619979336713385</v>
      </c>
      <c r="AW26">
        <f t="shared" si="22"/>
        <v>240.0508251804377</v>
      </c>
      <c r="AX26">
        <f t="shared" si="23"/>
        <v>49.670521887298875</v>
      </c>
      <c r="AY26">
        <f t="shared" si="24"/>
        <v>21.977777776666667</v>
      </c>
      <c r="AZ26">
        <f t="shared" si="25"/>
        <v>12.981937385377982</v>
      </c>
      <c r="BA26">
        <f t="shared" si="26"/>
        <v>825.37316908256741</v>
      </c>
      <c r="BB26">
        <f t="shared" si="27"/>
        <v>13.453482842198815</v>
      </c>
      <c r="BC26">
        <f t="shared" si="28"/>
        <v>2126.8170426065167</v>
      </c>
      <c r="BD26">
        <f t="shared" si="29"/>
        <v>201.77136953346681</v>
      </c>
      <c r="BE26">
        <f t="shared" si="30"/>
        <v>2400.5082518043769</v>
      </c>
      <c r="BF26">
        <f t="shared" si="31"/>
        <v>49.670521887298875</v>
      </c>
      <c r="BG26">
        <f t="shared" si="32"/>
        <v>27.472222220833331</v>
      </c>
      <c r="BH26">
        <f t="shared" si="33"/>
        <v>16.227421731722476</v>
      </c>
      <c r="BI26">
        <f t="shared" si="34"/>
        <v>4835.9203126264138</v>
      </c>
    </row>
    <row r="27" spans="1:61">
      <c r="A27">
        <v>17</v>
      </c>
      <c r="B27">
        <v>2</v>
      </c>
      <c r="C27">
        <v>27</v>
      </c>
      <c r="D27" t="s">
        <v>34</v>
      </c>
      <c r="E27" t="s">
        <v>35</v>
      </c>
      <c r="F27">
        <v>13.453482842198815</v>
      </c>
      <c r="G27">
        <v>2126.8170426065167</v>
      </c>
      <c r="H27">
        <v>445.28598672385556</v>
      </c>
      <c r="I27">
        <v>6479.5929036253419</v>
      </c>
      <c r="J27">
        <v>84.439887208408095</v>
      </c>
      <c r="K27">
        <v>27.472222220833331</v>
      </c>
      <c r="L27">
        <v>1332.952380952381</v>
      </c>
      <c r="M27">
        <f t="shared" si="0"/>
        <v>10510.013906179536</v>
      </c>
      <c r="N27">
        <f t="shared" si="1"/>
        <v>4.7087189947695851</v>
      </c>
      <c r="O27">
        <f t="shared" si="2"/>
        <v>425.36340852130337</v>
      </c>
      <c r="P27">
        <f t="shared" si="3"/>
        <v>155.85009535334945</v>
      </c>
      <c r="Q27">
        <f t="shared" si="4"/>
        <v>647.95929036253426</v>
      </c>
      <c r="R27">
        <f t="shared" si="5"/>
        <v>84.439887208408095</v>
      </c>
      <c r="S27">
        <f t="shared" si="6"/>
        <v>21.977777776666667</v>
      </c>
      <c r="T27">
        <f t="shared" si="7"/>
        <v>1066.3619047619047</v>
      </c>
      <c r="U27">
        <f t="shared" si="8"/>
        <v>2406.6610829789361</v>
      </c>
      <c r="V27">
        <f t="shared" si="9"/>
        <v>1.3453482842198816</v>
      </c>
      <c r="W27">
        <f t="shared" si="10"/>
        <v>212.68170426065168</v>
      </c>
      <c r="X27">
        <f t="shared" si="11"/>
        <v>44.528598672385556</v>
      </c>
      <c r="Y27">
        <f t="shared" si="12"/>
        <v>647.95929036253426</v>
      </c>
      <c r="Z27">
        <f t="shared" si="13"/>
        <v>84.439887208408095</v>
      </c>
      <c r="AA27">
        <f t="shared" si="14"/>
        <v>2.7472222220833333</v>
      </c>
      <c r="AB27">
        <f t="shared" si="15"/>
        <v>133.29523809523809</v>
      </c>
      <c r="AC27">
        <f t="shared" si="16"/>
        <v>1126.9972891055208</v>
      </c>
      <c r="AD27" s="92">
        <v>45.510230019729185</v>
      </c>
      <c r="AE27" s="92">
        <v>12260.188887279441</v>
      </c>
      <c r="AF27" s="92">
        <v>449.46491935645679</v>
      </c>
      <c r="AG27">
        <f>Tableau4[[#This Row],[KUVC rest. à emporter / traiteur]]</f>
        <v>6479.5929036253419</v>
      </c>
      <c r="AH27">
        <v>84.439887208408095</v>
      </c>
      <c r="AI27">
        <v>2210.4968866725603</v>
      </c>
      <c r="AJ27">
        <v>36.148125558527745</v>
      </c>
      <c r="AK27">
        <f t="shared" si="17"/>
        <v>21565.841839720466</v>
      </c>
      <c r="AL27" s="92">
        <f>Tableau4[[#This Row],[KUVC Miel Conso]]*BC$94</f>
        <v>15.928580506905213</v>
      </c>
      <c r="AM27" s="92">
        <f>Tableau4[[#This Row],[KUVC ind. Lait.  Conso]]*BD$94</f>
        <v>2452.0377774558883</v>
      </c>
      <c r="AN27" s="92">
        <f>Tableau4[[#This Row],[KUVC fermiers   Conso]]*BE$94</f>
        <v>157.31272177475986</v>
      </c>
      <c r="AO27" s="92">
        <f>Tableau4[[#This Row],[KUVC rest. à emporter  Conso]]*BF$94</f>
        <v>647.95929036253426</v>
      </c>
      <c r="AP27" s="92">
        <f>Tableau4[[#This Row],[KUVC portage domicile  Conso]]*BG$94</f>
        <v>84.439887208408095</v>
      </c>
      <c r="AQ27" s="92">
        <f>Tableau4[[#This Row],[KUVC bière  Conso]]*BH$94</f>
        <v>1768.3975093380484</v>
      </c>
      <c r="AR27" s="92">
        <f>Tableau4[[#This Row],[KUVC cidricole  Conso]]*BI$94</f>
        <v>28.918500446822197</v>
      </c>
      <c r="AS27">
        <f t="shared" si="18"/>
        <v>5154.994267093366</v>
      </c>
      <c r="AT27">
        <f t="shared" si="19"/>
        <v>4.7087189947695851</v>
      </c>
      <c r="AU27">
        <f t="shared" si="20"/>
        <v>425.36340852130337</v>
      </c>
      <c r="AV27">
        <f t="shared" si="21"/>
        <v>155.85009535334945</v>
      </c>
      <c r="AW27">
        <f t="shared" si="22"/>
        <v>647.95929036253426</v>
      </c>
      <c r="AX27">
        <f t="shared" si="23"/>
        <v>84.439887208408095</v>
      </c>
      <c r="AY27">
        <f t="shared" si="24"/>
        <v>21.977777776666667</v>
      </c>
      <c r="AZ27">
        <f t="shared" si="25"/>
        <v>28.918500446822197</v>
      </c>
      <c r="BA27">
        <f t="shared" si="26"/>
        <v>1369.2176786638538</v>
      </c>
      <c r="BB27">
        <f t="shared" si="27"/>
        <v>13.453482842198815</v>
      </c>
      <c r="BC27">
        <f t="shared" si="28"/>
        <v>2126.8170426065167</v>
      </c>
      <c r="BD27">
        <f t="shared" si="29"/>
        <v>445.28598672385556</v>
      </c>
      <c r="BE27">
        <f t="shared" si="30"/>
        <v>6479.5929036253419</v>
      </c>
      <c r="BF27">
        <f t="shared" si="31"/>
        <v>84.439887208408095</v>
      </c>
      <c r="BG27">
        <f t="shared" si="32"/>
        <v>27.472222220833331</v>
      </c>
      <c r="BH27">
        <f t="shared" si="33"/>
        <v>36.148125558527745</v>
      </c>
      <c r="BI27">
        <f t="shared" si="34"/>
        <v>9213.2096507856822</v>
      </c>
    </row>
    <row r="28" spans="1:61">
      <c r="A28">
        <v>18</v>
      </c>
      <c r="B28">
        <v>2</v>
      </c>
      <c r="C28">
        <v>27</v>
      </c>
      <c r="D28" t="s">
        <v>36</v>
      </c>
      <c r="E28" t="s">
        <v>37</v>
      </c>
      <c r="F28">
        <v>13.453482842198815</v>
      </c>
      <c r="G28">
        <v>2126.8170426065167</v>
      </c>
      <c r="H28">
        <v>801.4787384869237</v>
      </c>
      <c r="I28">
        <v>6654.650369862241</v>
      </c>
      <c r="J28">
        <v>161.14420133600734</v>
      </c>
      <c r="K28">
        <v>27.472222220833331</v>
      </c>
      <c r="L28">
        <v>1332.952380952381</v>
      </c>
      <c r="M28">
        <f t="shared" si="0"/>
        <v>11117.968438307102</v>
      </c>
      <c r="N28">
        <f t="shared" si="1"/>
        <v>4.7087189947695851</v>
      </c>
      <c r="O28">
        <f t="shared" si="2"/>
        <v>425.36340852130337</v>
      </c>
      <c r="P28">
        <f t="shared" si="3"/>
        <v>280.5175584704233</v>
      </c>
      <c r="Q28">
        <f t="shared" si="4"/>
        <v>665.46503698622416</v>
      </c>
      <c r="R28">
        <f t="shared" si="5"/>
        <v>161.14420133600734</v>
      </c>
      <c r="S28">
        <f t="shared" si="6"/>
        <v>21.977777776666667</v>
      </c>
      <c r="T28">
        <f t="shared" si="7"/>
        <v>1066.3619047619047</v>
      </c>
      <c r="U28">
        <f t="shared" si="8"/>
        <v>2625.538606847299</v>
      </c>
      <c r="V28">
        <f t="shared" si="9"/>
        <v>1.3453482842198816</v>
      </c>
      <c r="W28">
        <f t="shared" si="10"/>
        <v>212.68170426065168</v>
      </c>
      <c r="X28">
        <f t="shared" si="11"/>
        <v>80.14787384869237</v>
      </c>
      <c r="Y28">
        <f t="shared" si="12"/>
        <v>665.46503698622416</v>
      </c>
      <c r="Z28">
        <f t="shared" si="13"/>
        <v>161.14420133600734</v>
      </c>
      <c r="AA28">
        <f t="shared" si="14"/>
        <v>2.7472222220833333</v>
      </c>
      <c r="AB28">
        <f t="shared" si="15"/>
        <v>133.29523809523809</v>
      </c>
      <c r="AC28">
        <f t="shared" si="16"/>
        <v>1256.8266250331169</v>
      </c>
      <c r="AD28" s="92">
        <v>58.082380813054442</v>
      </c>
      <c r="AE28" s="92">
        <v>15647.052530436324</v>
      </c>
      <c r="AF28" s="92">
        <v>573.62910705688137</v>
      </c>
      <c r="AG28">
        <f>Tableau4[[#This Row],[KUVC rest. à emporter / traiteur]]</f>
        <v>6654.650369862241</v>
      </c>
      <c r="AH28">
        <v>161.14420133600734</v>
      </c>
      <c r="AI28">
        <v>2821.1442109197869</v>
      </c>
      <c r="AJ28">
        <v>46.134005331511808</v>
      </c>
      <c r="AK28">
        <f t="shared" si="17"/>
        <v>25961.8368057558</v>
      </c>
      <c r="AL28" s="92">
        <f>Tableau4[[#This Row],[KUVC Miel Conso]]*BC$94</f>
        <v>20.328833284569054</v>
      </c>
      <c r="AM28" s="92">
        <f>Tableau4[[#This Row],[KUVC ind. Lait.  Conso]]*BD$94</f>
        <v>3129.4105060872648</v>
      </c>
      <c r="AN28" s="92">
        <f>Tableau4[[#This Row],[KUVC fermiers   Conso]]*BE$94</f>
        <v>200.77018746990848</v>
      </c>
      <c r="AO28" s="92">
        <f>Tableau4[[#This Row],[KUVC rest. à emporter  Conso]]*BF$94</f>
        <v>665.46503698622416</v>
      </c>
      <c r="AP28" s="92">
        <f>Tableau4[[#This Row],[KUVC portage domicile  Conso]]*BG$94</f>
        <v>161.14420133600734</v>
      </c>
      <c r="AQ28" s="92">
        <f>Tableau4[[#This Row],[KUVC bière  Conso]]*BH$94</f>
        <v>2256.9153687358298</v>
      </c>
      <c r="AR28" s="92">
        <f>Tableau4[[#This Row],[KUVC cidricole  Conso]]*BI$94</f>
        <v>36.907204265209451</v>
      </c>
      <c r="AS28">
        <f t="shared" si="18"/>
        <v>6470.9413381650138</v>
      </c>
      <c r="AT28">
        <f t="shared" si="19"/>
        <v>4.7087189947695851</v>
      </c>
      <c r="AU28">
        <f t="shared" si="20"/>
        <v>425.36340852130337</v>
      </c>
      <c r="AV28">
        <f t="shared" si="21"/>
        <v>200.77018746990848</v>
      </c>
      <c r="AW28">
        <f t="shared" si="22"/>
        <v>665.46503698622416</v>
      </c>
      <c r="AX28">
        <f t="shared" si="23"/>
        <v>161.14420133600734</v>
      </c>
      <c r="AY28">
        <f t="shared" si="24"/>
        <v>21.977777776666667</v>
      </c>
      <c r="AZ28">
        <f t="shared" si="25"/>
        <v>36.907204265209451</v>
      </c>
      <c r="BA28">
        <f t="shared" si="26"/>
        <v>1516.3365353500892</v>
      </c>
      <c r="BB28">
        <f t="shared" si="27"/>
        <v>13.453482842198815</v>
      </c>
      <c r="BC28">
        <f t="shared" si="28"/>
        <v>2126.8170426065167</v>
      </c>
      <c r="BD28">
        <f t="shared" si="29"/>
        <v>573.62910705688137</v>
      </c>
      <c r="BE28">
        <f t="shared" si="30"/>
        <v>6654.650369862241</v>
      </c>
      <c r="BF28">
        <f t="shared" si="31"/>
        <v>161.14420133600734</v>
      </c>
      <c r="BG28">
        <f t="shared" si="32"/>
        <v>27.472222220833331</v>
      </c>
      <c r="BH28">
        <f t="shared" si="33"/>
        <v>46.134005331511808</v>
      </c>
      <c r="BI28">
        <f t="shared" si="34"/>
        <v>9603.3004312561898</v>
      </c>
    </row>
    <row r="29" spans="1:61">
      <c r="A29">
        <v>19</v>
      </c>
      <c r="B29">
        <v>2</v>
      </c>
      <c r="C29">
        <v>27</v>
      </c>
      <c r="D29" t="s">
        <v>38</v>
      </c>
      <c r="E29" t="s">
        <v>39</v>
      </c>
      <c r="F29">
        <v>13.453482842198815</v>
      </c>
      <c r="G29">
        <v>2126.8170426065167</v>
      </c>
      <c r="H29">
        <v>535.1343714910239</v>
      </c>
      <c r="I29">
        <v>4352.6463846539173</v>
      </c>
      <c r="J29">
        <v>111.88081487401421</v>
      </c>
      <c r="K29">
        <v>27.472222220833331</v>
      </c>
      <c r="L29">
        <v>1332.952380952381</v>
      </c>
      <c r="M29">
        <f t="shared" si="0"/>
        <v>8500.3566996408845</v>
      </c>
      <c r="N29">
        <f t="shared" si="1"/>
        <v>4.7087189947695851</v>
      </c>
      <c r="O29">
        <f t="shared" si="2"/>
        <v>425.36340852130337</v>
      </c>
      <c r="P29">
        <f t="shared" si="3"/>
        <v>187.29703002185835</v>
      </c>
      <c r="Q29">
        <f t="shared" si="4"/>
        <v>435.26463846539173</v>
      </c>
      <c r="R29">
        <f t="shared" si="5"/>
        <v>111.88081487401421</v>
      </c>
      <c r="S29">
        <f t="shared" si="6"/>
        <v>21.977777776666667</v>
      </c>
      <c r="T29">
        <f t="shared" si="7"/>
        <v>1066.3619047619047</v>
      </c>
      <c r="U29">
        <f t="shared" si="8"/>
        <v>2252.8542934159086</v>
      </c>
      <c r="V29">
        <f t="shared" si="9"/>
        <v>1.3453482842198816</v>
      </c>
      <c r="W29">
        <f t="shared" si="10"/>
        <v>212.68170426065168</v>
      </c>
      <c r="X29">
        <f t="shared" si="11"/>
        <v>53.513437149102394</v>
      </c>
      <c r="Y29">
        <f t="shared" si="12"/>
        <v>435.26463846539173</v>
      </c>
      <c r="Z29">
        <f t="shared" si="13"/>
        <v>111.88081487401421</v>
      </c>
      <c r="AA29">
        <f t="shared" si="14"/>
        <v>2.7472222220833333</v>
      </c>
      <c r="AB29">
        <f t="shared" si="15"/>
        <v>133.29523809523809</v>
      </c>
      <c r="AC29">
        <f t="shared" si="16"/>
        <v>950.72840335070134</v>
      </c>
      <c r="AD29" s="92">
        <v>36.011171509806815</v>
      </c>
      <c r="AE29" s="92">
        <v>9701.1982706097224</v>
      </c>
      <c r="AF29" s="92">
        <v>355.6509886144313</v>
      </c>
      <c r="AG29">
        <f>Tableau4[[#This Row],[KUVC rest. à emporter / traiteur]]</f>
        <v>4352.6463846539173</v>
      </c>
      <c r="AH29">
        <v>111.88081487401421</v>
      </c>
      <c r="AI29">
        <v>1749.1140447620453</v>
      </c>
      <c r="AJ29">
        <v>28.603159084932265</v>
      </c>
      <c r="AK29">
        <f t="shared" si="17"/>
        <v>16335.104834108868</v>
      </c>
      <c r="AL29" s="92">
        <f>Tableau4[[#This Row],[KUVC Miel Conso]]*BC$94</f>
        <v>12.603910028432384</v>
      </c>
      <c r="AM29" s="92">
        <f>Tableau4[[#This Row],[KUVC ind. Lait.  Conso]]*BD$94</f>
        <v>1940.2396541219446</v>
      </c>
      <c r="AN29" s="92">
        <f>Tableau4[[#This Row],[KUVC fermiers   Conso]]*BE$94</f>
        <v>124.47784601505094</v>
      </c>
      <c r="AO29" s="92">
        <f>Tableau4[[#This Row],[KUVC rest. à emporter  Conso]]*BF$94</f>
        <v>435.26463846539173</v>
      </c>
      <c r="AP29" s="92">
        <f>Tableau4[[#This Row],[KUVC portage domicile  Conso]]*BG$94</f>
        <v>111.88081487401421</v>
      </c>
      <c r="AQ29" s="92">
        <f>Tableau4[[#This Row],[KUVC bière  Conso]]*BH$94</f>
        <v>1399.2912358096364</v>
      </c>
      <c r="AR29" s="92">
        <f>Tableau4[[#This Row],[KUVC cidricole  Conso]]*BI$94</f>
        <v>22.882527267945814</v>
      </c>
      <c r="AS29">
        <f t="shared" si="18"/>
        <v>4046.6406265824162</v>
      </c>
      <c r="AT29">
        <f t="shared" si="19"/>
        <v>4.7087189947695851</v>
      </c>
      <c r="AU29">
        <f t="shared" si="20"/>
        <v>425.36340852130337</v>
      </c>
      <c r="AV29">
        <f t="shared" si="21"/>
        <v>124.47784601505094</v>
      </c>
      <c r="AW29">
        <f t="shared" si="22"/>
        <v>435.26463846539173</v>
      </c>
      <c r="AX29">
        <f t="shared" si="23"/>
        <v>111.88081487401421</v>
      </c>
      <c r="AY29">
        <f t="shared" si="24"/>
        <v>21.977777776666667</v>
      </c>
      <c r="AZ29">
        <f t="shared" si="25"/>
        <v>22.882527267945814</v>
      </c>
      <c r="BA29">
        <f t="shared" si="26"/>
        <v>1146.5557319151424</v>
      </c>
      <c r="BB29">
        <f t="shared" si="27"/>
        <v>13.453482842198815</v>
      </c>
      <c r="BC29">
        <f t="shared" si="28"/>
        <v>2126.8170426065167</v>
      </c>
      <c r="BD29">
        <f t="shared" si="29"/>
        <v>355.6509886144313</v>
      </c>
      <c r="BE29">
        <f t="shared" si="30"/>
        <v>4352.6463846539173</v>
      </c>
      <c r="BF29">
        <f t="shared" si="31"/>
        <v>111.88081487401421</v>
      </c>
      <c r="BG29">
        <f t="shared" si="32"/>
        <v>27.472222220833331</v>
      </c>
      <c r="BH29">
        <f t="shared" si="33"/>
        <v>28.603159084932265</v>
      </c>
      <c r="BI29">
        <f t="shared" si="34"/>
        <v>7016.524094896844</v>
      </c>
    </row>
    <row r="30" spans="1:61">
      <c r="A30">
        <v>62</v>
      </c>
      <c r="B30">
        <v>2</v>
      </c>
      <c r="C30">
        <v>27</v>
      </c>
      <c r="D30" t="s">
        <v>124</v>
      </c>
      <c r="E30" t="s">
        <v>125</v>
      </c>
      <c r="F30">
        <v>13.453482842198815</v>
      </c>
      <c r="G30">
        <v>2126.8170426065167</v>
      </c>
      <c r="H30">
        <v>331.85509445258037</v>
      </c>
      <c r="I30">
        <v>2940.5772965004403</v>
      </c>
      <c r="J30">
        <v>47.906268377640721</v>
      </c>
      <c r="K30">
        <v>27.472222220833331</v>
      </c>
      <c r="L30">
        <v>1332.952380952381</v>
      </c>
      <c r="M30">
        <f t="shared" si="0"/>
        <v>6821.0337879525914</v>
      </c>
      <c r="N30">
        <f t="shared" si="1"/>
        <v>4.7087189947695851</v>
      </c>
      <c r="O30">
        <f t="shared" si="2"/>
        <v>425.36340852130337</v>
      </c>
      <c r="P30">
        <f t="shared" si="3"/>
        <v>116.14928305840313</v>
      </c>
      <c r="Q30">
        <f t="shared" si="4"/>
        <v>294.05772965004405</v>
      </c>
      <c r="R30">
        <f t="shared" si="5"/>
        <v>47.906268377640721</v>
      </c>
      <c r="S30">
        <f t="shared" si="6"/>
        <v>21.977777776666667</v>
      </c>
      <c r="T30">
        <f t="shared" si="7"/>
        <v>1066.3619047619047</v>
      </c>
      <c r="U30">
        <f t="shared" si="8"/>
        <v>1976.5250911407322</v>
      </c>
      <c r="V30">
        <f t="shared" si="9"/>
        <v>1.3453482842198816</v>
      </c>
      <c r="W30">
        <f t="shared" si="10"/>
        <v>212.68170426065168</v>
      </c>
      <c r="X30">
        <f t="shared" si="11"/>
        <v>33.185509445258042</v>
      </c>
      <c r="Y30">
        <f t="shared" si="12"/>
        <v>294.05772965004405</v>
      </c>
      <c r="Z30">
        <f t="shared" si="13"/>
        <v>47.906268377640721</v>
      </c>
      <c r="AA30">
        <f t="shared" si="14"/>
        <v>2.7472222220833333</v>
      </c>
      <c r="AB30">
        <f t="shared" si="15"/>
        <v>133.29523809523809</v>
      </c>
      <c r="AC30">
        <f t="shared" si="16"/>
        <v>725.21902033513584</v>
      </c>
      <c r="AD30" s="92">
        <v>27.853170508504128</v>
      </c>
      <c r="AE30" s="92">
        <v>7503.4806766703714</v>
      </c>
      <c r="AF30" s="92">
        <v>275.08151532082604</v>
      </c>
      <c r="AG30">
        <f>Tableau4[[#This Row],[KUVC rest. à emporter / traiteur]]</f>
        <v>2940.5772965004403</v>
      </c>
      <c r="AH30">
        <v>47.906268377640721</v>
      </c>
      <c r="AI30">
        <v>1352.8682818416291</v>
      </c>
      <c r="AJ30">
        <v>22.123375432468993</v>
      </c>
      <c r="AK30">
        <f t="shared" si="17"/>
        <v>12169.890584651881</v>
      </c>
      <c r="AL30" s="92">
        <f>Tableau4[[#This Row],[KUVC Miel Conso]]*BC$94</f>
        <v>9.7486096779764448</v>
      </c>
      <c r="AM30" s="92">
        <f>Tableau4[[#This Row],[KUVC ind. Lait.  Conso]]*BD$94</f>
        <v>1500.6961353340744</v>
      </c>
      <c r="AN30" s="92">
        <f>Tableau4[[#This Row],[KUVC fermiers   Conso]]*BE$94</f>
        <v>96.278530362289104</v>
      </c>
      <c r="AO30" s="92">
        <f>Tableau4[[#This Row],[KUVC rest. à emporter  Conso]]*BF$94</f>
        <v>294.05772965004405</v>
      </c>
      <c r="AP30" s="92">
        <f>Tableau4[[#This Row],[KUVC portage domicile  Conso]]*BG$94</f>
        <v>47.906268377640721</v>
      </c>
      <c r="AQ30" s="92">
        <f>Tableau4[[#This Row],[KUVC bière  Conso]]*BH$94</f>
        <v>1082.2946254733033</v>
      </c>
      <c r="AR30" s="92">
        <f>Tableau4[[#This Row],[KUVC cidricole  Conso]]*BI$94</f>
        <v>17.698700345975194</v>
      </c>
      <c r="AS30">
        <f t="shared" si="18"/>
        <v>3048.6805992213031</v>
      </c>
      <c r="AT30">
        <f t="shared" si="19"/>
        <v>4.7087189947695851</v>
      </c>
      <c r="AU30">
        <f t="shared" si="20"/>
        <v>425.36340852130337</v>
      </c>
      <c r="AV30">
        <f t="shared" si="21"/>
        <v>96.278530362289104</v>
      </c>
      <c r="AW30">
        <f t="shared" si="22"/>
        <v>294.05772965004405</v>
      </c>
      <c r="AX30">
        <f t="shared" si="23"/>
        <v>47.906268377640721</v>
      </c>
      <c r="AY30">
        <f t="shared" si="24"/>
        <v>21.977777776666667</v>
      </c>
      <c r="AZ30">
        <f t="shared" si="25"/>
        <v>17.698700345975194</v>
      </c>
      <c r="BA30">
        <f t="shared" si="26"/>
        <v>907.99113402868875</v>
      </c>
      <c r="BB30">
        <f t="shared" si="27"/>
        <v>13.453482842198815</v>
      </c>
      <c r="BC30">
        <f t="shared" si="28"/>
        <v>2126.8170426065167</v>
      </c>
      <c r="BD30">
        <f t="shared" si="29"/>
        <v>275.08151532082604</v>
      </c>
      <c r="BE30">
        <f t="shared" si="30"/>
        <v>2940.5772965004403</v>
      </c>
      <c r="BF30">
        <f t="shared" si="31"/>
        <v>47.906268377640721</v>
      </c>
      <c r="BG30">
        <f t="shared" si="32"/>
        <v>27.472222220833331</v>
      </c>
      <c r="BH30">
        <f t="shared" si="33"/>
        <v>22.123375432468993</v>
      </c>
      <c r="BI30">
        <f t="shared" si="34"/>
        <v>5453.4312033009246</v>
      </c>
    </row>
    <row r="31" spans="1:61">
      <c r="A31">
        <v>7</v>
      </c>
      <c r="B31">
        <v>3</v>
      </c>
      <c r="C31">
        <v>27</v>
      </c>
      <c r="D31" t="s">
        <v>14</v>
      </c>
      <c r="E31" t="s">
        <v>15</v>
      </c>
      <c r="F31">
        <v>26.90696568439763</v>
      </c>
      <c r="G31">
        <v>2835.7560568086883</v>
      </c>
      <c r="H31">
        <v>49.571364106802619</v>
      </c>
      <c r="I31">
        <v>2102.6559168400586</v>
      </c>
      <c r="J31">
        <v>28.879472835019676</v>
      </c>
      <c r="K31">
        <v>151.09722221458335</v>
      </c>
      <c r="L31">
        <v>838.71161048689135</v>
      </c>
      <c r="M31">
        <f t="shared" si="0"/>
        <v>6033.5786089764415</v>
      </c>
      <c r="N31">
        <f t="shared" si="1"/>
        <v>9.4174379895391702</v>
      </c>
      <c r="O31">
        <f t="shared" si="2"/>
        <v>567.15121136173764</v>
      </c>
      <c r="P31">
        <f t="shared" si="3"/>
        <v>17.349977437380915</v>
      </c>
      <c r="Q31">
        <f t="shared" si="4"/>
        <v>210.26559168400587</v>
      </c>
      <c r="R31">
        <f t="shared" si="5"/>
        <v>28.879472835019676</v>
      </c>
      <c r="S31">
        <f t="shared" si="6"/>
        <v>120.87777777166669</v>
      </c>
      <c r="T31">
        <f t="shared" si="7"/>
        <v>670.96928838951317</v>
      </c>
      <c r="U31">
        <f t="shared" si="8"/>
        <v>1624.9107574688633</v>
      </c>
      <c r="V31">
        <f t="shared" si="9"/>
        <v>2.6906965684397632</v>
      </c>
      <c r="W31">
        <f t="shared" si="10"/>
        <v>283.57560568086882</v>
      </c>
      <c r="X31">
        <f t="shared" si="11"/>
        <v>4.9571364106802625</v>
      </c>
      <c r="Y31">
        <f t="shared" si="12"/>
        <v>210.26559168400587</v>
      </c>
      <c r="Z31">
        <f t="shared" si="13"/>
        <v>28.879472835019676</v>
      </c>
      <c r="AA31">
        <f t="shared" si="14"/>
        <v>15.109722221458336</v>
      </c>
      <c r="AB31">
        <f t="shared" si="15"/>
        <v>83.871161048689146</v>
      </c>
      <c r="AC31">
        <f t="shared" si="16"/>
        <v>629.3493864491619</v>
      </c>
      <c r="AD31" s="92">
        <v>10.38410034284329</v>
      </c>
      <c r="AE31" s="92">
        <v>2797.4156925273992</v>
      </c>
      <c r="AF31" s="92">
        <v>102.5547183822647</v>
      </c>
      <c r="AG31">
        <f>Tableau4[[#This Row],[KUVC rest. à emporter / traiteur]]</f>
        <v>2102.6559168400586</v>
      </c>
      <c r="AH31">
        <v>28.879472835019676</v>
      </c>
      <c r="AI31">
        <v>504.37058808095981</v>
      </c>
      <c r="AJ31">
        <v>8.2479425580298127</v>
      </c>
      <c r="AK31">
        <f t="shared" si="17"/>
        <v>5554.5084315665754</v>
      </c>
      <c r="AL31" s="92">
        <f>Tableau4[[#This Row],[KUVC Miel Conso]]*BC$94</f>
        <v>3.634435119995151</v>
      </c>
      <c r="AM31" s="92">
        <f>Tableau4[[#This Row],[KUVC ind. Lait.  Conso]]*BD$94</f>
        <v>559.48313850547981</v>
      </c>
      <c r="AN31" s="92">
        <f>Tableau4[[#This Row],[KUVC fermiers   Conso]]*BE$94</f>
        <v>35.894151433792644</v>
      </c>
      <c r="AO31" s="92">
        <f>Tableau4[[#This Row],[KUVC rest. à emporter  Conso]]*BF$94</f>
        <v>210.26559168400587</v>
      </c>
      <c r="AP31" s="92">
        <f>Tableau4[[#This Row],[KUVC portage domicile  Conso]]*BG$94</f>
        <v>28.879472835019676</v>
      </c>
      <c r="AQ31" s="92">
        <f>Tableau4[[#This Row],[KUVC bière  Conso]]*BH$94</f>
        <v>403.49647046476787</v>
      </c>
      <c r="AR31" s="92">
        <f>Tableau4[[#This Row],[KUVC cidricole  Conso]]*BI$94</f>
        <v>6.5983540464238501</v>
      </c>
      <c r="AS31">
        <f t="shared" si="18"/>
        <v>1248.2516140894847</v>
      </c>
      <c r="AT31">
        <f t="shared" si="19"/>
        <v>3.634435119995151</v>
      </c>
      <c r="AU31">
        <f t="shared" si="20"/>
        <v>559.48313850547981</v>
      </c>
      <c r="AV31">
        <f t="shared" si="21"/>
        <v>17.349977437380915</v>
      </c>
      <c r="AW31">
        <f t="shared" si="22"/>
        <v>210.26559168400587</v>
      </c>
      <c r="AX31">
        <f t="shared" si="23"/>
        <v>28.879472835019676</v>
      </c>
      <c r="AY31">
        <f t="shared" si="24"/>
        <v>120.87777777166669</v>
      </c>
      <c r="AZ31">
        <f t="shared" si="25"/>
        <v>6.5983540464238501</v>
      </c>
      <c r="BA31">
        <f t="shared" si="26"/>
        <v>947.08874739997191</v>
      </c>
      <c r="BB31">
        <f t="shared" si="27"/>
        <v>10.38410034284329</v>
      </c>
      <c r="BC31">
        <f t="shared" si="28"/>
        <v>2797.4156925273992</v>
      </c>
      <c r="BD31">
        <f t="shared" si="29"/>
        <v>49.571364106802619</v>
      </c>
      <c r="BE31">
        <f t="shared" si="30"/>
        <v>2102.6559168400586</v>
      </c>
      <c r="BF31">
        <f t="shared" si="31"/>
        <v>28.879472835019676</v>
      </c>
      <c r="BG31">
        <f t="shared" si="32"/>
        <v>151.09722221458335</v>
      </c>
      <c r="BH31">
        <f t="shared" si="33"/>
        <v>8.2479425580298127</v>
      </c>
      <c r="BI31">
        <f t="shared" si="34"/>
        <v>5148.2517114247366</v>
      </c>
    </row>
    <row r="32" spans="1:61">
      <c r="A32">
        <v>47</v>
      </c>
      <c r="B32">
        <v>3</v>
      </c>
      <c r="C32">
        <v>27</v>
      </c>
      <c r="D32" t="s">
        <v>94</v>
      </c>
      <c r="E32" t="s">
        <v>95</v>
      </c>
      <c r="F32">
        <v>26.90696568439763</v>
      </c>
      <c r="G32">
        <v>2835.7560568086883</v>
      </c>
      <c r="H32">
        <v>259.62061856592607</v>
      </c>
      <c r="I32">
        <v>20065.912922920925</v>
      </c>
      <c r="J32">
        <v>230.54722016979056</v>
      </c>
      <c r="K32">
        <v>151.09722221458335</v>
      </c>
      <c r="L32">
        <v>838.71161048689135</v>
      </c>
      <c r="M32">
        <f t="shared" si="0"/>
        <v>24408.552616851204</v>
      </c>
      <c r="N32">
        <f t="shared" si="1"/>
        <v>9.4174379895391702</v>
      </c>
      <c r="O32">
        <f t="shared" si="2"/>
        <v>567.15121136173764</v>
      </c>
      <c r="P32">
        <f t="shared" si="3"/>
        <v>90.867216498074114</v>
      </c>
      <c r="Q32">
        <f t="shared" si="4"/>
        <v>2006.5912922920925</v>
      </c>
      <c r="R32">
        <f t="shared" si="5"/>
        <v>230.54722016979056</v>
      </c>
      <c r="S32">
        <f t="shared" si="6"/>
        <v>120.87777777166669</v>
      </c>
      <c r="T32">
        <f t="shared" si="7"/>
        <v>670.96928838951317</v>
      </c>
      <c r="U32">
        <f t="shared" si="8"/>
        <v>3696.4214444724144</v>
      </c>
      <c r="V32">
        <f t="shared" si="9"/>
        <v>2.6906965684397632</v>
      </c>
      <c r="W32">
        <f t="shared" si="10"/>
        <v>283.57560568086882</v>
      </c>
      <c r="X32">
        <f t="shared" si="11"/>
        <v>25.962061856592609</v>
      </c>
      <c r="Y32">
        <f t="shared" si="12"/>
        <v>2006.5912922920925</v>
      </c>
      <c r="Z32">
        <f t="shared" si="13"/>
        <v>230.54722016979056</v>
      </c>
      <c r="AA32">
        <f t="shared" si="14"/>
        <v>15.109722221458336</v>
      </c>
      <c r="AB32">
        <f t="shared" si="15"/>
        <v>83.871161048689146</v>
      </c>
      <c r="AC32">
        <f t="shared" si="16"/>
        <v>2648.3477598379322</v>
      </c>
      <c r="AD32" s="92">
        <v>86.954178179479001</v>
      </c>
      <c r="AE32" s="92">
        <v>23424.945304745987</v>
      </c>
      <c r="AF32" s="92">
        <v>858.7707130068045</v>
      </c>
      <c r="AG32">
        <f>Tableau4[[#This Row],[KUVC rest. à emporter / traiteur]]</f>
        <v>20065.912922920925</v>
      </c>
      <c r="AH32">
        <v>230.54722016979056</v>
      </c>
      <c r="AI32">
        <v>4223.4886544318369</v>
      </c>
      <c r="AJ32">
        <v>69.066461525414752</v>
      </c>
      <c r="AK32">
        <f t="shared" si="17"/>
        <v>48959.685454980237</v>
      </c>
      <c r="AL32" s="92">
        <f>Tableau4[[#This Row],[KUVC Miel Conso]]*BC$94</f>
        <v>30.433962362817649</v>
      </c>
      <c r="AM32" s="92">
        <f>Tableau4[[#This Row],[KUVC ind. Lait.  Conso]]*BD$94</f>
        <v>4684.9890609491977</v>
      </c>
      <c r="AN32" s="92">
        <f>Tableau4[[#This Row],[KUVC fermiers   Conso]]*BE$94</f>
        <v>300.56974955238155</v>
      </c>
      <c r="AO32" s="92">
        <f>Tableau4[[#This Row],[KUVC rest. à emporter  Conso]]*BF$94</f>
        <v>2006.5912922920925</v>
      </c>
      <c r="AP32" s="92">
        <f>Tableau4[[#This Row],[KUVC portage domicile  Conso]]*BG$94</f>
        <v>230.54722016979056</v>
      </c>
      <c r="AQ32" s="92">
        <f>Tableau4[[#This Row],[KUVC bière  Conso]]*BH$94</f>
        <v>3378.7909235454699</v>
      </c>
      <c r="AR32" s="92">
        <f>Tableau4[[#This Row],[KUVC cidricole  Conso]]*BI$94</f>
        <v>55.253169220331806</v>
      </c>
      <c r="AS32">
        <f t="shared" si="18"/>
        <v>10687.175378092083</v>
      </c>
      <c r="AT32">
        <f t="shared" si="19"/>
        <v>9.4174379895391702</v>
      </c>
      <c r="AU32">
        <f t="shared" si="20"/>
        <v>567.15121136173764</v>
      </c>
      <c r="AV32">
        <f t="shared" si="21"/>
        <v>90.867216498074114</v>
      </c>
      <c r="AW32">
        <f t="shared" si="22"/>
        <v>2006.5912922920925</v>
      </c>
      <c r="AX32">
        <f t="shared" si="23"/>
        <v>230.54722016979056</v>
      </c>
      <c r="AY32">
        <f t="shared" si="24"/>
        <v>120.87777777166669</v>
      </c>
      <c r="AZ32">
        <f t="shared" si="25"/>
        <v>55.253169220331806</v>
      </c>
      <c r="BA32">
        <f t="shared" si="26"/>
        <v>3080.7053253032332</v>
      </c>
      <c r="BB32">
        <f t="shared" si="27"/>
        <v>26.90696568439763</v>
      </c>
      <c r="BC32">
        <f t="shared" si="28"/>
        <v>2835.7560568086883</v>
      </c>
      <c r="BD32">
        <f t="shared" si="29"/>
        <v>259.62061856592607</v>
      </c>
      <c r="BE32">
        <f t="shared" si="30"/>
        <v>20065.912922920925</v>
      </c>
      <c r="BF32">
        <f t="shared" si="31"/>
        <v>230.54722016979056</v>
      </c>
      <c r="BG32">
        <f t="shared" si="32"/>
        <v>151.09722221458335</v>
      </c>
      <c r="BH32">
        <f t="shared" si="33"/>
        <v>69.066461525414752</v>
      </c>
      <c r="BI32">
        <f t="shared" si="34"/>
        <v>23638.907467889727</v>
      </c>
    </row>
    <row r="33" spans="1:61">
      <c r="A33">
        <v>61</v>
      </c>
      <c r="B33">
        <v>3</v>
      </c>
      <c r="C33">
        <v>27</v>
      </c>
      <c r="D33" t="s">
        <v>122</v>
      </c>
      <c r="E33" t="s">
        <v>123</v>
      </c>
      <c r="F33">
        <v>26.90696568439763</v>
      </c>
      <c r="G33">
        <v>2835.7560568086883</v>
      </c>
      <c r="H33">
        <v>246.16663114990712</v>
      </c>
      <c r="I33">
        <v>2370.3363200727399</v>
      </c>
      <c r="J33">
        <v>40.903539062382187</v>
      </c>
      <c r="K33">
        <v>151.09722221458335</v>
      </c>
      <c r="L33">
        <v>838.71161048689135</v>
      </c>
      <c r="M33">
        <f t="shared" si="0"/>
        <v>6509.8783454795903</v>
      </c>
      <c r="N33">
        <f t="shared" si="1"/>
        <v>9.4174379895391702</v>
      </c>
      <c r="O33">
        <f t="shared" si="2"/>
        <v>567.15121136173764</v>
      </c>
      <c r="P33">
        <f t="shared" si="3"/>
        <v>86.15832090246748</v>
      </c>
      <c r="Q33">
        <f t="shared" si="4"/>
        <v>237.03363200727401</v>
      </c>
      <c r="R33">
        <f t="shared" si="5"/>
        <v>40.903539062382187</v>
      </c>
      <c r="S33">
        <f t="shared" si="6"/>
        <v>120.87777777166669</v>
      </c>
      <c r="T33">
        <f t="shared" si="7"/>
        <v>670.96928838951317</v>
      </c>
      <c r="U33">
        <f t="shared" si="8"/>
        <v>1732.5112074845804</v>
      </c>
      <c r="V33">
        <f t="shared" si="9"/>
        <v>2.6906965684397632</v>
      </c>
      <c r="W33">
        <f t="shared" si="10"/>
        <v>283.57560568086882</v>
      </c>
      <c r="X33">
        <f t="shared" si="11"/>
        <v>24.616663114990715</v>
      </c>
      <c r="Y33">
        <f t="shared" si="12"/>
        <v>237.03363200727401</v>
      </c>
      <c r="Z33">
        <f t="shared" si="13"/>
        <v>40.903539062382187</v>
      </c>
      <c r="AA33">
        <f t="shared" si="14"/>
        <v>15.109722221458336</v>
      </c>
      <c r="AB33">
        <f t="shared" si="15"/>
        <v>83.871161048689146</v>
      </c>
      <c r="AC33">
        <f t="shared" si="16"/>
        <v>687.80101970410294</v>
      </c>
      <c r="AD33" s="92">
        <v>22.978245088232345</v>
      </c>
      <c r="AE33" s="92">
        <v>6190.2043772971901</v>
      </c>
      <c r="AF33" s="92">
        <v>226.93612119864008</v>
      </c>
      <c r="AG33">
        <f>Tableau4[[#This Row],[KUVC rest. à emporter / traiteur]]</f>
        <v>2370.3363200727399</v>
      </c>
      <c r="AH33">
        <v>40.903539062382187</v>
      </c>
      <c r="AI33">
        <v>1116.0861899998567</v>
      </c>
      <c r="AJ33">
        <v>18.251291812938835</v>
      </c>
      <c r="AK33">
        <f t="shared" si="17"/>
        <v>9985.6960845319809</v>
      </c>
      <c r="AL33" s="92">
        <f>Tableau4[[#This Row],[KUVC Miel Conso]]*BC$94</f>
        <v>8.0423857808813199</v>
      </c>
      <c r="AM33" s="92">
        <f>Tableau4[[#This Row],[KUVC ind. Lait.  Conso]]*BD$94</f>
        <v>1238.0408754594382</v>
      </c>
      <c r="AN33" s="92">
        <f>Tableau4[[#This Row],[KUVC fermiers   Conso]]*BE$94</f>
        <v>79.42764241952402</v>
      </c>
      <c r="AO33" s="92">
        <f>Tableau4[[#This Row],[KUVC rest. à emporter  Conso]]*BF$94</f>
        <v>237.03363200727401</v>
      </c>
      <c r="AP33" s="92">
        <f>Tableau4[[#This Row],[KUVC portage domicile  Conso]]*BG$94</f>
        <v>40.903539062382187</v>
      </c>
      <c r="AQ33" s="92">
        <f>Tableau4[[#This Row],[KUVC bière  Conso]]*BH$94</f>
        <v>892.86895199988544</v>
      </c>
      <c r="AR33" s="92">
        <f>Tableau4[[#This Row],[KUVC cidricole  Conso]]*BI$94</f>
        <v>14.601033450351068</v>
      </c>
      <c r="AS33">
        <f t="shared" si="18"/>
        <v>2510.9180601797366</v>
      </c>
      <c r="AT33">
        <f t="shared" si="19"/>
        <v>8.0423857808813199</v>
      </c>
      <c r="AU33">
        <f t="shared" si="20"/>
        <v>567.15121136173764</v>
      </c>
      <c r="AV33">
        <f t="shared" si="21"/>
        <v>79.42764241952402</v>
      </c>
      <c r="AW33">
        <f t="shared" si="22"/>
        <v>237.03363200727401</v>
      </c>
      <c r="AX33">
        <f t="shared" si="23"/>
        <v>40.903539062382187</v>
      </c>
      <c r="AY33">
        <f t="shared" si="24"/>
        <v>120.87777777166669</v>
      </c>
      <c r="AZ33">
        <f t="shared" si="25"/>
        <v>14.601033450351068</v>
      </c>
      <c r="BA33">
        <f t="shared" si="26"/>
        <v>1068.0372218538168</v>
      </c>
      <c r="BB33">
        <f t="shared" si="27"/>
        <v>22.978245088232345</v>
      </c>
      <c r="BC33">
        <f t="shared" si="28"/>
        <v>2835.7560568086883</v>
      </c>
      <c r="BD33">
        <f t="shared" si="29"/>
        <v>226.93612119864008</v>
      </c>
      <c r="BE33">
        <f t="shared" si="30"/>
        <v>2370.3363200727399</v>
      </c>
      <c r="BF33">
        <f t="shared" si="31"/>
        <v>40.903539062382187</v>
      </c>
      <c r="BG33">
        <f t="shared" si="32"/>
        <v>151.09722221458335</v>
      </c>
      <c r="BH33">
        <f t="shared" si="33"/>
        <v>18.251291812938835</v>
      </c>
      <c r="BI33">
        <f t="shared" si="34"/>
        <v>5666.2587962582047</v>
      </c>
    </row>
    <row r="34" spans="1:61">
      <c r="A34">
        <v>8</v>
      </c>
      <c r="B34">
        <v>1</v>
      </c>
      <c r="C34">
        <v>50</v>
      </c>
      <c r="D34" t="s">
        <v>16</v>
      </c>
      <c r="E34" t="s">
        <v>17</v>
      </c>
      <c r="F34">
        <v>55.670073544365557</v>
      </c>
      <c r="G34">
        <v>85072.681704260642</v>
      </c>
      <c r="H34">
        <v>836.89388751796332</v>
      </c>
      <c r="I34">
        <v>7842.2240658786613</v>
      </c>
      <c r="J34">
        <v>187.87942759775021</v>
      </c>
      <c r="K34">
        <v>453.29166664375003</v>
      </c>
      <c r="L34">
        <v>7773.0593900481535</v>
      </c>
      <c r="M34">
        <f t="shared" si="0"/>
        <v>102221.70021549128</v>
      </c>
      <c r="N34">
        <f t="shared" si="1"/>
        <v>19.484525740527943</v>
      </c>
      <c r="O34">
        <f t="shared" si="2"/>
        <v>17014.53634085213</v>
      </c>
      <c r="P34">
        <f t="shared" si="3"/>
        <v>292.91286063128712</v>
      </c>
      <c r="Q34">
        <f t="shared" si="4"/>
        <v>784.2224065878662</v>
      </c>
      <c r="R34">
        <f t="shared" si="5"/>
        <v>187.87942759775021</v>
      </c>
      <c r="S34">
        <f t="shared" si="6"/>
        <v>362.63333331500007</v>
      </c>
      <c r="T34">
        <f t="shared" si="7"/>
        <v>6218.4475120385232</v>
      </c>
      <c r="U34">
        <f t="shared" si="8"/>
        <v>24880.116406763082</v>
      </c>
      <c r="V34">
        <f t="shared" si="9"/>
        <v>5.5670073544365559</v>
      </c>
      <c r="W34">
        <f t="shared" si="10"/>
        <v>8507.2681704260649</v>
      </c>
      <c r="X34">
        <f t="shared" si="11"/>
        <v>83.689388751796344</v>
      </c>
      <c r="Y34">
        <f t="shared" si="12"/>
        <v>784.2224065878662</v>
      </c>
      <c r="Z34">
        <f t="shared" si="13"/>
        <v>187.87942759775021</v>
      </c>
      <c r="AA34">
        <f t="shared" si="14"/>
        <v>45.329166664375009</v>
      </c>
      <c r="AB34">
        <f t="shared" si="15"/>
        <v>777.3059390048154</v>
      </c>
      <c r="AC34">
        <f t="shared" si="16"/>
        <v>10391.261506387104</v>
      </c>
      <c r="AD34" s="92">
        <v>52.159764609260833</v>
      </c>
      <c r="AE34" s="92">
        <v>14051.534482430561</v>
      </c>
      <c r="AF34" s="92">
        <v>515.13658321634421</v>
      </c>
      <c r="AG34">
        <f>Tableau4[[#This Row],[KUVC rest. à emporter / traiteur]]</f>
        <v>7842.2240658786613</v>
      </c>
      <c r="AH34">
        <v>187.87942759775021</v>
      </c>
      <c r="AI34">
        <v>2533.4742810212406</v>
      </c>
      <c r="AJ34">
        <v>41.429755889641456</v>
      </c>
      <c r="AK34">
        <f t="shared" si="17"/>
        <v>25223.838360643458</v>
      </c>
      <c r="AL34" s="92">
        <f>Tableau4[[#This Row],[KUVC Miel Conso]]*BC$94</f>
        <v>18.255917613241291</v>
      </c>
      <c r="AM34" s="92">
        <f>Tableau4[[#This Row],[KUVC ind. Lait.  Conso]]*BD$94</f>
        <v>2810.3068964861122</v>
      </c>
      <c r="AN34" s="92">
        <f>Tableau4[[#This Row],[KUVC fermiers   Conso]]*BE$94</f>
        <v>180.29780412572046</v>
      </c>
      <c r="AO34" s="92">
        <f>Tableau4[[#This Row],[KUVC rest. à emporter  Conso]]*BF$94</f>
        <v>784.2224065878662</v>
      </c>
      <c r="AP34" s="92">
        <f>Tableau4[[#This Row],[KUVC portage domicile  Conso]]*BG$94</f>
        <v>187.87942759775021</v>
      </c>
      <c r="AQ34" s="92">
        <f>Tableau4[[#This Row],[KUVC bière  Conso]]*BH$94</f>
        <v>2026.7794248169926</v>
      </c>
      <c r="AR34" s="92">
        <f>Tableau4[[#This Row],[KUVC cidricole  Conso]]*BI$94</f>
        <v>33.143804711713166</v>
      </c>
      <c r="AS34">
        <f t="shared" si="18"/>
        <v>6040.8856819393968</v>
      </c>
      <c r="AT34">
        <f t="shared" si="19"/>
        <v>18.255917613241291</v>
      </c>
      <c r="AU34">
        <f t="shared" si="20"/>
        <v>2810.3068964861122</v>
      </c>
      <c r="AV34">
        <f t="shared" si="21"/>
        <v>180.29780412572046</v>
      </c>
      <c r="AW34">
        <f t="shared" si="22"/>
        <v>784.2224065878662</v>
      </c>
      <c r="AX34">
        <f t="shared" si="23"/>
        <v>187.87942759775021</v>
      </c>
      <c r="AY34">
        <f t="shared" si="24"/>
        <v>362.63333331500007</v>
      </c>
      <c r="AZ34">
        <f t="shared" si="25"/>
        <v>33.143804711713166</v>
      </c>
      <c r="BA34">
        <f t="shared" si="26"/>
        <v>4376.7395904374043</v>
      </c>
      <c r="BB34">
        <f t="shared" si="27"/>
        <v>52.159764609260833</v>
      </c>
      <c r="BC34">
        <f t="shared" si="28"/>
        <v>14051.534482430561</v>
      </c>
      <c r="BD34">
        <f t="shared" si="29"/>
        <v>515.13658321634421</v>
      </c>
      <c r="BE34">
        <f t="shared" si="30"/>
        <v>7842.2240658786613</v>
      </c>
      <c r="BF34">
        <f t="shared" si="31"/>
        <v>187.87942759775021</v>
      </c>
      <c r="BG34">
        <f t="shared" si="32"/>
        <v>453.29166664375003</v>
      </c>
      <c r="BH34">
        <f t="shared" si="33"/>
        <v>41.429755889641456</v>
      </c>
      <c r="BI34">
        <f t="shared" si="34"/>
        <v>23143.655746265969</v>
      </c>
    </row>
    <row r="35" spans="1:61">
      <c r="A35">
        <v>34</v>
      </c>
      <c r="B35">
        <v>1</v>
      </c>
      <c r="C35">
        <v>50</v>
      </c>
      <c r="D35" t="s">
        <v>68</v>
      </c>
      <c r="E35" t="s">
        <v>69</v>
      </c>
      <c r="F35">
        <v>55.670073544365557</v>
      </c>
      <c r="G35">
        <v>85072.681704260642</v>
      </c>
      <c r="H35">
        <v>2508.3795822591501</v>
      </c>
      <c r="I35">
        <v>10609.090366807517</v>
      </c>
      <c r="J35">
        <v>341.31519821463576</v>
      </c>
      <c r="K35">
        <v>453.29166664375003</v>
      </c>
      <c r="L35">
        <v>7773.0593900481535</v>
      </c>
      <c r="M35">
        <f t="shared" si="0"/>
        <v>106813.48798177821</v>
      </c>
      <c r="N35">
        <f t="shared" si="1"/>
        <v>19.484525740527943</v>
      </c>
      <c r="O35">
        <f t="shared" si="2"/>
        <v>17014.53634085213</v>
      </c>
      <c r="P35">
        <f t="shared" si="3"/>
        <v>877.93285379070244</v>
      </c>
      <c r="Q35">
        <f t="shared" si="4"/>
        <v>1060.9090366807518</v>
      </c>
      <c r="R35">
        <f t="shared" si="5"/>
        <v>341.31519821463576</v>
      </c>
      <c r="S35">
        <f t="shared" si="6"/>
        <v>362.63333331500007</v>
      </c>
      <c r="T35">
        <f t="shared" si="7"/>
        <v>6218.4475120385232</v>
      </c>
      <c r="U35">
        <f t="shared" si="8"/>
        <v>25895.258800632269</v>
      </c>
      <c r="V35">
        <f t="shared" si="9"/>
        <v>5.5670073544365559</v>
      </c>
      <c r="W35">
        <f t="shared" si="10"/>
        <v>8507.2681704260649</v>
      </c>
      <c r="X35">
        <f t="shared" si="11"/>
        <v>250.83795822591503</v>
      </c>
      <c r="Y35">
        <f t="shared" si="12"/>
        <v>1060.9090366807518</v>
      </c>
      <c r="Z35">
        <f t="shared" si="13"/>
        <v>341.31519821463576</v>
      </c>
      <c r="AA35">
        <f t="shared" si="14"/>
        <v>45.329166664375009</v>
      </c>
      <c r="AB35">
        <f t="shared" si="15"/>
        <v>777.3059390048154</v>
      </c>
      <c r="AC35">
        <f t="shared" si="16"/>
        <v>10988.532476570994</v>
      </c>
      <c r="AD35" s="92">
        <v>91.321035465683991</v>
      </c>
      <c r="AE35" s="92">
        <v>24601.351030435704</v>
      </c>
      <c r="AF35" s="92">
        <v>901.89836050791371</v>
      </c>
      <c r="AG35">
        <f>Tableau4[[#This Row],[KUVC rest. à emporter / traiteur]]</f>
        <v>10609.090366807517</v>
      </c>
      <c r="AH35">
        <v>341.31519821463576</v>
      </c>
      <c r="AI35">
        <v>4435.5931511903655</v>
      </c>
      <c r="AJ35">
        <v>72.534993884171854</v>
      </c>
      <c r="AK35">
        <f t="shared" si="17"/>
        <v>41053.104136505994</v>
      </c>
      <c r="AL35" s="92">
        <f>Tableau4[[#This Row],[KUVC Miel Conso]]*BC$94</f>
        <v>31.962362412989396</v>
      </c>
      <c r="AM35" s="92">
        <f>Tableau4[[#This Row],[KUVC ind. Lait.  Conso]]*BD$94</f>
        <v>4920.2702060871416</v>
      </c>
      <c r="AN35" s="92">
        <f>Tableau4[[#This Row],[KUVC fermiers   Conso]]*BE$94</f>
        <v>315.66442617776977</v>
      </c>
      <c r="AO35" s="92">
        <f>Tableau4[[#This Row],[KUVC rest. à emporter  Conso]]*BF$94</f>
        <v>1060.9090366807518</v>
      </c>
      <c r="AP35" s="92">
        <f>Tableau4[[#This Row],[KUVC portage domicile  Conso]]*BG$94</f>
        <v>341.31519821463576</v>
      </c>
      <c r="AQ35" s="92">
        <f>Tableau4[[#This Row],[KUVC bière  Conso]]*BH$94</f>
        <v>3548.4745209522926</v>
      </c>
      <c r="AR35" s="92">
        <f>Tableau4[[#This Row],[KUVC cidricole  Conso]]*BI$94</f>
        <v>58.027995107337489</v>
      </c>
      <c r="AS35">
        <f t="shared" si="18"/>
        <v>10276.623745632916</v>
      </c>
      <c r="AT35">
        <f t="shared" si="19"/>
        <v>19.484525740527943</v>
      </c>
      <c r="AU35">
        <f t="shared" si="20"/>
        <v>4920.2702060871416</v>
      </c>
      <c r="AV35">
        <f t="shared" si="21"/>
        <v>315.66442617776977</v>
      </c>
      <c r="AW35">
        <f t="shared" si="22"/>
        <v>1060.9090366807518</v>
      </c>
      <c r="AX35">
        <f t="shared" si="23"/>
        <v>341.31519821463576</v>
      </c>
      <c r="AY35">
        <f t="shared" si="24"/>
        <v>362.63333331500007</v>
      </c>
      <c r="AZ35">
        <f t="shared" si="25"/>
        <v>58.027995107337489</v>
      </c>
      <c r="BA35">
        <f t="shared" si="26"/>
        <v>7078.3047213231639</v>
      </c>
      <c r="BB35">
        <f t="shared" si="27"/>
        <v>55.670073544365557</v>
      </c>
      <c r="BC35">
        <f t="shared" si="28"/>
        <v>24601.351030435704</v>
      </c>
      <c r="BD35">
        <f t="shared" si="29"/>
        <v>901.89836050791371</v>
      </c>
      <c r="BE35">
        <f t="shared" si="30"/>
        <v>10609.090366807517</v>
      </c>
      <c r="BF35">
        <f t="shared" si="31"/>
        <v>341.31519821463576</v>
      </c>
      <c r="BG35">
        <f t="shared" si="32"/>
        <v>453.29166664375003</v>
      </c>
      <c r="BH35">
        <f t="shared" si="33"/>
        <v>72.534993884171854</v>
      </c>
      <c r="BI35">
        <f t="shared" si="34"/>
        <v>37035.151690038067</v>
      </c>
    </row>
    <row r="36" spans="1:61">
      <c r="A36">
        <v>9</v>
      </c>
      <c r="B36">
        <v>2</v>
      </c>
      <c r="C36">
        <v>50</v>
      </c>
      <c r="D36" t="s">
        <v>18</v>
      </c>
      <c r="E36" t="s">
        <v>19</v>
      </c>
      <c r="F36">
        <v>8.6597892180124205</v>
      </c>
      <c r="G36">
        <v>116974.93734335838</v>
      </c>
      <c r="H36">
        <v>777.76756878355934</v>
      </c>
      <c r="I36">
        <v>2742.1290910967141</v>
      </c>
      <c r="J36">
        <v>83.028484400681563</v>
      </c>
      <c r="K36">
        <v>304.94166665125005</v>
      </c>
      <c r="L36">
        <v>1707.3772070626003</v>
      </c>
      <c r="M36">
        <f t="shared" si="0"/>
        <v>122598.8411505712</v>
      </c>
      <c r="N36">
        <f t="shared" si="1"/>
        <v>3.0309262263043468</v>
      </c>
      <c r="O36">
        <f t="shared" si="2"/>
        <v>23394.987468671679</v>
      </c>
      <c r="P36">
        <f t="shared" si="3"/>
        <v>272.21864907424577</v>
      </c>
      <c r="Q36">
        <f t="shared" si="4"/>
        <v>274.21290910967144</v>
      </c>
      <c r="R36">
        <f t="shared" si="5"/>
        <v>83.028484400681563</v>
      </c>
      <c r="S36">
        <f t="shared" si="6"/>
        <v>243.95333332100006</v>
      </c>
      <c r="T36">
        <f t="shared" si="7"/>
        <v>1365.9017656500803</v>
      </c>
      <c r="U36">
        <f t="shared" si="8"/>
        <v>25637.333536453662</v>
      </c>
      <c r="V36">
        <f t="shared" si="9"/>
        <v>0.86597892180124214</v>
      </c>
      <c r="W36">
        <f t="shared" si="10"/>
        <v>11697.49373433584</v>
      </c>
      <c r="X36">
        <f t="shared" si="11"/>
        <v>77.77675687835594</v>
      </c>
      <c r="Y36">
        <f t="shared" si="12"/>
        <v>274.21290910967144</v>
      </c>
      <c r="Z36">
        <f t="shared" si="13"/>
        <v>83.028484400681563</v>
      </c>
      <c r="AA36">
        <f t="shared" si="14"/>
        <v>30.494166665125007</v>
      </c>
      <c r="AB36">
        <f t="shared" si="15"/>
        <v>170.73772070626003</v>
      </c>
      <c r="AC36">
        <f t="shared" si="16"/>
        <v>12334.609751017737</v>
      </c>
      <c r="AD36" s="92">
        <v>26.646284543035602</v>
      </c>
      <c r="AE36" s="92">
        <v>7178.3526802696442</v>
      </c>
      <c r="AF36" s="92">
        <v>263.16215339040747</v>
      </c>
      <c r="AG36">
        <f>Tableau4[[#This Row],[KUVC rest. à emporter / traiteur]]</f>
        <v>2742.1290910967141</v>
      </c>
      <c r="AH36">
        <v>83.028484400681563</v>
      </c>
      <c r="AI36">
        <v>1294.2481063760149</v>
      </c>
      <c r="AJ36">
        <v>21.16476315132542</v>
      </c>
      <c r="AK36">
        <f t="shared" si="17"/>
        <v>11608.731563227824</v>
      </c>
      <c r="AL36" s="92">
        <f>Tableau4[[#This Row],[KUVC Miel Conso]]*BC$94</f>
        <v>9.3261995900624601</v>
      </c>
      <c r="AM36" s="92">
        <f>Tableau4[[#This Row],[KUVC ind. Lait.  Conso]]*BD$94</f>
        <v>1435.670536053929</v>
      </c>
      <c r="AN36" s="92">
        <f>Tableau4[[#This Row],[KUVC fermiers   Conso]]*BE$94</f>
        <v>92.106753686642605</v>
      </c>
      <c r="AO36" s="92">
        <f>Tableau4[[#This Row],[KUVC rest. à emporter  Conso]]*BF$94</f>
        <v>274.21290910967144</v>
      </c>
      <c r="AP36" s="92">
        <f>Tableau4[[#This Row],[KUVC portage domicile  Conso]]*BG$94</f>
        <v>83.028484400681563</v>
      </c>
      <c r="AQ36" s="92">
        <f>Tableau4[[#This Row],[KUVC bière  Conso]]*BH$94</f>
        <v>1035.398485100812</v>
      </c>
      <c r="AR36" s="92">
        <f>Tableau4[[#This Row],[KUVC cidricole  Conso]]*BI$94</f>
        <v>16.931810521060338</v>
      </c>
      <c r="AS36">
        <f t="shared" si="18"/>
        <v>2946.6751784628595</v>
      </c>
      <c r="AT36">
        <f t="shared" si="19"/>
        <v>3.0309262263043468</v>
      </c>
      <c r="AU36">
        <f t="shared" si="20"/>
        <v>1435.670536053929</v>
      </c>
      <c r="AV36">
        <f t="shared" si="21"/>
        <v>92.106753686642605</v>
      </c>
      <c r="AW36">
        <f t="shared" si="22"/>
        <v>274.21290910967144</v>
      </c>
      <c r="AX36">
        <f t="shared" si="23"/>
        <v>83.028484400681563</v>
      </c>
      <c r="AY36">
        <f t="shared" si="24"/>
        <v>243.95333332100006</v>
      </c>
      <c r="AZ36">
        <f t="shared" si="25"/>
        <v>16.931810521060338</v>
      </c>
      <c r="BA36">
        <f t="shared" si="26"/>
        <v>2148.9347533192895</v>
      </c>
      <c r="BB36">
        <f t="shared" si="27"/>
        <v>8.6597892180124205</v>
      </c>
      <c r="BC36">
        <f t="shared" si="28"/>
        <v>7178.3526802696442</v>
      </c>
      <c r="BD36">
        <f t="shared" si="29"/>
        <v>263.16215339040747</v>
      </c>
      <c r="BE36">
        <f t="shared" si="30"/>
        <v>2742.1290910967141</v>
      </c>
      <c r="BF36">
        <f t="shared" si="31"/>
        <v>83.028484400681563</v>
      </c>
      <c r="BG36">
        <f t="shared" si="32"/>
        <v>304.94166665125005</v>
      </c>
      <c r="BH36">
        <f t="shared" si="33"/>
        <v>21.16476315132542</v>
      </c>
      <c r="BI36">
        <f t="shared" si="34"/>
        <v>10601.438628178035</v>
      </c>
    </row>
    <row r="37" spans="1:61">
      <c r="A37">
        <v>26</v>
      </c>
      <c r="B37">
        <v>2</v>
      </c>
      <c r="C37">
        <v>50</v>
      </c>
      <c r="D37" t="s">
        <v>52</v>
      </c>
      <c r="E37" t="s">
        <v>53</v>
      </c>
      <c r="F37">
        <v>8.6597892180124205</v>
      </c>
      <c r="G37">
        <v>116974.93734335838</v>
      </c>
      <c r="H37">
        <v>3739.9230959517299</v>
      </c>
      <c r="I37">
        <v>28036.479723661752</v>
      </c>
      <c r="J37">
        <v>490.13676734472301</v>
      </c>
      <c r="K37">
        <v>304.94166665125005</v>
      </c>
      <c r="L37">
        <v>1707.3772070626003</v>
      </c>
      <c r="M37">
        <f t="shared" ref="M37:M68" si="41">SUM(F37:L37)</f>
        <v>151262.45559324848</v>
      </c>
      <c r="N37">
        <f t="shared" ref="N37:N68" si="42">F37*BC$94</f>
        <v>3.0309262263043468</v>
      </c>
      <c r="O37">
        <f t="shared" ref="O37:O68" si="43">G37*BD$94</f>
        <v>23394.987468671679</v>
      </c>
      <c r="P37">
        <f t="shared" ref="P37:P68" si="44">H37*BE$94</f>
        <v>1308.9730835831053</v>
      </c>
      <c r="Q37">
        <f t="shared" ref="Q37:Q68" si="45">I37*BF$94</f>
        <v>2803.6479723661755</v>
      </c>
      <c r="R37">
        <f t="shared" ref="R37:R68" si="46">J37*BG$94</f>
        <v>490.13676734472301</v>
      </c>
      <c r="S37">
        <f t="shared" ref="S37:S68" si="47">K37*BH$94</f>
        <v>243.95333332100006</v>
      </c>
      <c r="T37">
        <f t="shared" ref="T37:T68" si="48">L37*BI$94</f>
        <v>1365.9017656500803</v>
      </c>
      <c r="U37">
        <f t="shared" ref="U37:U68" si="49">SUM(N37:T37)</f>
        <v>29610.631317163068</v>
      </c>
      <c r="V37">
        <f t="shared" ref="V37:V68" si="50">F37*0.1</f>
        <v>0.86597892180124214</v>
      </c>
      <c r="W37">
        <f t="shared" ref="W37:W68" si="51">G37*0.1</f>
        <v>11697.49373433584</v>
      </c>
      <c r="X37">
        <f t="shared" ref="X37:X68" si="52">H37*0.1</f>
        <v>373.99230959517303</v>
      </c>
      <c r="Y37">
        <f t="shared" ref="Y37:Y68" si="53">I37*0.1</f>
        <v>2803.6479723661755</v>
      </c>
      <c r="Z37">
        <f t="shared" ref="Z37:Z68" si="54">J37</f>
        <v>490.13676734472301</v>
      </c>
      <c r="AA37">
        <f t="shared" ref="AA37:AA68" si="55">K37*0.1</f>
        <v>30.494166665125007</v>
      </c>
      <c r="AB37">
        <f t="shared" ref="AB37:AB68" si="56">L37*0.1</f>
        <v>170.73772070626003</v>
      </c>
      <c r="AC37">
        <f t="shared" ref="AC37:AC68" si="57">SUM(V37:AB37)</f>
        <v>15567.368649935099</v>
      </c>
      <c r="AD37" s="92">
        <v>209.76986957893351</v>
      </c>
      <c r="AE37" s="92">
        <v>56510.7718151015</v>
      </c>
      <c r="AF37" s="92">
        <v>2071.7143699962971</v>
      </c>
      <c r="AG37">
        <f>Tableau4[[#This Row],[KUVC rest. à emporter / traiteur]]</f>
        <v>28036.479723661752</v>
      </c>
      <c r="AH37">
        <v>490.13676734472301</v>
      </c>
      <c r="AI37">
        <v>10188.822236691056</v>
      </c>
      <c r="AJ37">
        <v>166.61721069412431</v>
      </c>
      <c r="AK37">
        <f t="shared" ref="AK37:AK68" si="58">SUM(AD37:AJ37)</f>
        <v>97674.311993068375</v>
      </c>
      <c r="AL37" s="92">
        <f>Tableau4[[#This Row],[KUVC Miel Conso]]*BC$94</f>
        <v>73.41945435262673</v>
      </c>
      <c r="AM37" s="92">
        <f>Tableau4[[#This Row],[KUVC ind. Lait.  Conso]]*BD$94</f>
        <v>11302.154363020301</v>
      </c>
      <c r="AN37" s="92">
        <f>Tableau4[[#This Row],[KUVC fermiers   Conso]]*BE$94</f>
        <v>725.10002949870398</v>
      </c>
      <c r="AO37" s="92">
        <f>Tableau4[[#This Row],[KUVC rest. à emporter  Conso]]*BF$94</f>
        <v>2803.6479723661755</v>
      </c>
      <c r="AP37" s="92">
        <f>Tableau4[[#This Row],[KUVC portage domicile  Conso]]*BG$94</f>
        <v>490.13676734472301</v>
      </c>
      <c r="AQ37" s="92">
        <f>Tableau4[[#This Row],[KUVC bière  Conso]]*BH$94</f>
        <v>8151.0577893528452</v>
      </c>
      <c r="AR37" s="92">
        <f>Tableau4[[#This Row],[KUVC cidricole  Conso]]*BI$94</f>
        <v>133.29376855529947</v>
      </c>
      <c r="AS37">
        <f t="shared" ref="AS37:AS68" si="59">SUM(AL37:AR37)</f>
        <v>23678.810144490679</v>
      </c>
      <c r="AT37">
        <f t="shared" ref="AT37:AT68" si="60">MIN(AL37,N37)</f>
        <v>3.0309262263043468</v>
      </c>
      <c r="AU37">
        <f t="shared" ref="AU37:AU68" si="61">MIN(AM37,O37)</f>
        <v>11302.154363020301</v>
      </c>
      <c r="AV37">
        <f t="shared" ref="AV37:AV68" si="62">MIN(AN37,P37)</f>
        <v>725.10002949870398</v>
      </c>
      <c r="AW37">
        <f t="shared" ref="AW37:AW68" si="63">MIN(AO37,Q37)</f>
        <v>2803.6479723661755</v>
      </c>
      <c r="AX37">
        <f t="shared" ref="AX37:AX68" si="64">MIN(AP37,R37)</f>
        <v>490.13676734472301</v>
      </c>
      <c r="AY37">
        <f t="shared" ref="AY37:AY68" si="65">MIN(AQ37,S37)</f>
        <v>243.95333332100006</v>
      </c>
      <c r="AZ37">
        <f t="shared" ref="AZ37:AZ68" si="66">MIN(AR37,T37)</f>
        <v>133.29376855529947</v>
      </c>
      <c r="BA37">
        <f t="shared" ref="BA37:BA68" si="67">SUM(AT37:AZ37)</f>
        <v>15701.317160332506</v>
      </c>
      <c r="BB37">
        <f t="shared" ref="BB37:BB68" si="68">MIN(F37, AD37)</f>
        <v>8.6597892180124205</v>
      </c>
      <c r="BC37">
        <f t="shared" ref="BC37:BC68" si="69">MIN(G37, AE37)</f>
        <v>56510.7718151015</v>
      </c>
      <c r="BD37">
        <f t="shared" ref="BD37:BD68" si="70">MIN(H37, AF37)</f>
        <v>2071.7143699962971</v>
      </c>
      <c r="BE37">
        <f t="shared" ref="BE37:BE68" si="71">MIN(I37, AG37)</f>
        <v>28036.479723661752</v>
      </c>
      <c r="BF37">
        <f t="shared" ref="BF37:BF68" si="72">MIN(J37, AH37)</f>
        <v>490.13676734472301</v>
      </c>
      <c r="BG37">
        <f t="shared" ref="BG37:BG68" si="73">MIN(K37, AI37)</f>
        <v>304.94166665125005</v>
      </c>
      <c r="BH37">
        <f t="shared" ref="BH37:BH68" si="74">MIN(L37, AJ37)</f>
        <v>166.61721069412431</v>
      </c>
      <c r="BI37">
        <f t="shared" ref="BI37:BI68" si="75">SUM(BB37:BH37)</f>
        <v>87589.321342667667</v>
      </c>
    </row>
    <row r="38" spans="1:61">
      <c r="A38">
        <v>24</v>
      </c>
      <c r="B38">
        <v>3</v>
      </c>
      <c r="C38">
        <v>50</v>
      </c>
      <c r="D38" t="s">
        <v>48</v>
      </c>
      <c r="E38" t="s">
        <v>49</v>
      </c>
      <c r="F38">
        <v>24.742254908606913</v>
      </c>
      <c r="G38">
        <v>95706.766917293222</v>
      </c>
      <c r="H38">
        <v>1662.7742446444493</v>
      </c>
      <c r="I38">
        <v>6221.4297756152091</v>
      </c>
      <c r="J38">
        <v>171.3497293303376</v>
      </c>
      <c r="K38">
        <v>230.76666665499999</v>
      </c>
      <c r="L38">
        <v>1797.2391653290529</v>
      </c>
      <c r="M38">
        <f t="shared" si="41"/>
        <v>105815.06875377588</v>
      </c>
      <c r="N38">
        <f t="shared" si="42"/>
        <v>8.6597892180124187</v>
      </c>
      <c r="O38">
        <f t="shared" si="43"/>
        <v>19141.353383458645</v>
      </c>
      <c r="P38">
        <f t="shared" si="44"/>
        <v>581.9709856255572</v>
      </c>
      <c r="Q38">
        <f t="shared" si="45"/>
        <v>622.14297756152098</v>
      </c>
      <c r="R38">
        <f t="shared" si="46"/>
        <v>171.3497293303376</v>
      </c>
      <c r="S38">
        <f t="shared" si="47"/>
        <v>184.613333324</v>
      </c>
      <c r="T38">
        <f t="shared" si="48"/>
        <v>1437.7913322632423</v>
      </c>
      <c r="U38">
        <f t="shared" si="49"/>
        <v>22147.881530781313</v>
      </c>
      <c r="V38">
        <f t="shared" si="50"/>
        <v>2.4742254908606913</v>
      </c>
      <c r="W38">
        <f t="shared" si="51"/>
        <v>9570.6766917293226</v>
      </c>
      <c r="X38">
        <f t="shared" si="52"/>
        <v>166.27742446444495</v>
      </c>
      <c r="Y38">
        <f t="shared" si="53"/>
        <v>622.14297756152098</v>
      </c>
      <c r="Z38">
        <f t="shared" si="54"/>
        <v>171.3497293303376</v>
      </c>
      <c r="AA38">
        <f t="shared" si="55"/>
        <v>23.076666665499999</v>
      </c>
      <c r="AB38">
        <f t="shared" si="56"/>
        <v>179.72391653290529</v>
      </c>
      <c r="AC38">
        <f t="shared" si="57"/>
        <v>10735.721631774892</v>
      </c>
      <c r="AD38" s="92">
        <v>65.77757115086051</v>
      </c>
      <c r="AE38" s="92">
        <v>17720.091647667126</v>
      </c>
      <c r="AF38" s="92">
        <v>649.62780236374306</v>
      </c>
      <c r="AG38">
        <f>Tableau4[[#This Row],[KUVC rest. à emporter / traiteur]]</f>
        <v>6221.4297756152091</v>
      </c>
      <c r="AH38">
        <v>171.3497293303376</v>
      </c>
      <c r="AI38">
        <v>3194.9105987560815</v>
      </c>
      <c r="AJ38">
        <v>52.246185085540624</v>
      </c>
      <c r="AK38">
        <f t="shared" si="58"/>
        <v>28075.433309968896</v>
      </c>
      <c r="AL38" s="92">
        <f>Tableau4[[#This Row],[KUVC Miel Conso]]*BC$94</f>
        <v>23.022149902801178</v>
      </c>
      <c r="AM38" s="92">
        <f>Tableau4[[#This Row],[KUVC ind. Lait.  Conso]]*BD$94</f>
        <v>3544.0183295334255</v>
      </c>
      <c r="AN38" s="92">
        <f>Tableau4[[#This Row],[KUVC fermiers   Conso]]*BE$94</f>
        <v>227.36973082731006</v>
      </c>
      <c r="AO38" s="92">
        <f>Tableau4[[#This Row],[KUVC rest. à emporter  Conso]]*BF$94</f>
        <v>622.14297756152098</v>
      </c>
      <c r="AP38" s="92">
        <f>Tableau4[[#This Row],[KUVC portage domicile  Conso]]*BG$94</f>
        <v>171.3497293303376</v>
      </c>
      <c r="AQ38" s="92">
        <f>Tableau4[[#This Row],[KUVC bière  Conso]]*BH$94</f>
        <v>2555.9284790048655</v>
      </c>
      <c r="AR38" s="92">
        <f>Tableau4[[#This Row],[KUVC cidricole  Conso]]*BI$94</f>
        <v>41.796948068432499</v>
      </c>
      <c r="AS38">
        <f t="shared" si="59"/>
        <v>7185.628344228694</v>
      </c>
      <c r="AT38">
        <f t="shared" si="60"/>
        <v>8.6597892180124187</v>
      </c>
      <c r="AU38">
        <f t="shared" si="61"/>
        <v>3544.0183295334255</v>
      </c>
      <c r="AV38">
        <f t="shared" si="62"/>
        <v>227.36973082731006</v>
      </c>
      <c r="AW38">
        <f t="shared" si="63"/>
        <v>622.14297756152098</v>
      </c>
      <c r="AX38">
        <f t="shared" si="64"/>
        <v>171.3497293303376</v>
      </c>
      <c r="AY38">
        <f t="shared" si="65"/>
        <v>184.613333324</v>
      </c>
      <c r="AZ38">
        <f t="shared" si="66"/>
        <v>41.796948068432499</v>
      </c>
      <c r="BA38">
        <f t="shared" si="67"/>
        <v>4799.9508378630389</v>
      </c>
      <c r="BB38">
        <f t="shared" si="68"/>
        <v>24.742254908606913</v>
      </c>
      <c r="BC38">
        <f t="shared" si="69"/>
        <v>17720.091647667126</v>
      </c>
      <c r="BD38">
        <f t="shared" si="70"/>
        <v>649.62780236374306</v>
      </c>
      <c r="BE38">
        <f t="shared" si="71"/>
        <v>6221.4297756152091</v>
      </c>
      <c r="BF38">
        <f t="shared" si="72"/>
        <v>171.3497293303376</v>
      </c>
      <c r="BG38">
        <f t="shared" si="73"/>
        <v>230.76666665499999</v>
      </c>
      <c r="BH38">
        <f t="shared" si="74"/>
        <v>52.246185085540624</v>
      </c>
      <c r="BI38">
        <f t="shared" si="75"/>
        <v>25070.254061625561</v>
      </c>
    </row>
    <row r="39" spans="1:61">
      <c r="A39">
        <v>25</v>
      </c>
      <c r="B39">
        <v>3</v>
      </c>
      <c r="C39">
        <v>50</v>
      </c>
      <c r="D39" t="s">
        <v>50</v>
      </c>
      <c r="E39" t="s">
        <v>51</v>
      </c>
      <c r="F39">
        <v>24.742254908606913</v>
      </c>
      <c r="G39">
        <v>95706.766917293222</v>
      </c>
      <c r="H39">
        <v>1188.2888728435078</v>
      </c>
      <c r="I39">
        <v>2514.0940751683524</v>
      </c>
      <c r="J39">
        <v>80.287105870289665</v>
      </c>
      <c r="K39">
        <v>230.76666665499999</v>
      </c>
      <c r="L39">
        <v>1797.2391653290529</v>
      </c>
      <c r="M39">
        <f t="shared" si="41"/>
        <v>101542.18505806803</v>
      </c>
      <c r="N39">
        <f t="shared" si="42"/>
        <v>8.6597892180124187</v>
      </c>
      <c r="O39">
        <f t="shared" si="43"/>
        <v>19141.353383458645</v>
      </c>
      <c r="P39">
        <f t="shared" si="44"/>
        <v>415.90110549522768</v>
      </c>
      <c r="Q39">
        <f t="shared" si="45"/>
        <v>251.40940751683524</v>
      </c>
      <c r="R39">
        <f t="shared" si="46"/>
        <v>80.287105870289665</v>
      </c>
      <c r="S39">
        <f t="shared" si="47"/>
        <v>184.613333324</v>
      </c>
      <c r="T39">
        <f t="shared" si="48"/>
        <v>1437.7913322632423</v>
      </c>
      <c r="U39">
        <f t="shared" si="49"/>
        <v>21520.015457146252</v>
      </c>
      <c r="V39">
        <f t="shared" si="50"/>
        <v>2.4742254908606913</v>
      </c>
      <c r="W39">
        <f t="shared" si="51"/>
        <v>9570.6766917293226</v>
      </c>
      <c r="X39">
        <f t="shared" si="52"/>
        <v>118.82888728435078</v>
      </c>
      <c r="Y39">
        <f t="shared" si="53"/>
        <v>251.40940751683524</v>
      </c>
      <c r="Z39">
        <f t="shared" si="54"/>
        <v>80.287105870289665</v>
      </c>
      <c r="AA39">
        <f t="shared" si="55"/>
        <v>23.076666665499999</v>
      </c>
      <c r="AB39">
        <f t="shared" si="56"/>
        <v>179.72391653290529</v>
      </c>
      <c r="AC39">
        <f t="shared" si="57"/>
        <v>10226.476901090065</v>
      </c>
      <c r="AD39" s="92">
        <v>26.625440073221966</v>
      </c>
      <c r="AE39" s="92">
        <v>7172.737302429111</v>
      </c>
      <c r="AF39" s="92">
        <v>262.95629070986837</v>
      </c>
      <c r="AG39">
        <f>Tableau4[[#This Row],[KUVC rest. à emporter / traiteur]]</f>
        <v>2514.0940751683524</v>
      </c>
      <c r="AH39">
        <v>80.287105870289665</v>
      </c>
      <c r="AI39">
        <v>1293.2356606993526</v>
      </c>
      <c r="AJ39">
        <v>21.148206686730592</v>
      </c>
      <c r="AK39">
        <f t="shared" si="58"/>
        <v>11371.084081636925</v>
      </c>
      <c r="AL39" s="92">
        <f>Tableau4[[#This Row],[KUVC Miel Conso]]*BC$94</f>
        <v>9.3189040256276883</v>
      </c>
      <c r="AM39" s="92">
        <f>Tableau4[[#This Row],[KUVC ind. Lait.  Conso]]*BD$94</f>
        <v>1434.5474604858223</v>
      </c>
      <c r="AN39" s="92">
        <f>Tableau4[[#This Row],[KUVC fermiers   Conso]]*BE$94</f>
        <v>92.034701748453926</v>
      </c>
      <c r="AO39" s="92">
        <f>Tableau4[[#This Row],[KUVC rest. à emporter  Conso]]*BF$94</f>
        <v>251.40940751683524</v>
      </c>
      <c r="AP39" s="92">
        <f>Tableau4[[#This Row],[KUVC portage domicile  Conso]]*BG$94</f>
        <v>80.287105870289665</v>
      </c>
      <c r="AQ39" s="92">
        <f>Tableau4[[#This Row],[KUVC bière  Conso]]*BH$94</f>
        <v>1034.588528559482</v>
      </c>
      <c r="AR39" s="92">
        <f>Tableau4[[#This Row],[KUVC cidricole  Conso]]*BI$94</f>
        <v>16.918565349384476</v>
      </c>
      <c r="AS39">
        <f t="shared" si="59"/>
        <v>2919.1046735558953</v>
      </c>
      <c r="AT39">
        <f t="shared" si="60"/>
        <v>8.6597892180124187</v>
      </c>
      <c r="AU39">
        <f t="shared" si="61"/>
        <v>1434.5474604858223</v>
      </c>
      <c r="AV39">
        <f t="shared" si="62"/>
        <v>92.034701748453926</v>
      </c>
      <c r="AW39">
        <f t="shared" si="63"/>
        <v>251.40940751683524</v>
      </c>
      <c r="AX39">
        <f t="shared" si="64"/>
        <v>80.287105870289665</v>
      </c>
      <c r="AY39">
        <f t="shared" si="65"/>
        <v>184.613333324</v>
      </c>
      <c r="AZ39">
        <f t="shared" si="66"/>
        <v>16.918565349384476</v>
      </c>
      <c r="BA39">
        <f t="shared" si="67"/>
        <v>2068.4703635127985</v>
      </c>
      <c r="BB39">
        <f t="shared" si="68"/>
        <v>24.742254908606913</v>
      </c>
      <c r="BC39">
        <f t="shared" si="69"/>
        <v>7172.737302429111</v>
      </c>
      <c r="BD39">
        <f t="shared" si="70"/>
        <v>262.95629070986837</v>
      </c>
      <c r="BE39">
        <f t="shared" si="71"/>
        <v>2514.0940751683524</v>
      </c>
      <c r="BF39">
        <f t="shared" si="72"/>
        <v>80.287105870289665</v>
      </c>
      <c r="BG39">
        <f t="shared" si="73"/>
        <v>230.76666665499999</v>
      </c>
      <c r="BH39">
        <f t="shared" si="74"/>
        <v>21.148206686730592</v>
      </c>
      <c r="BI39">
        <f t="shared" si="75"/>
        <v>10306.731902427957</v>
      </c>
    </row>
    <row r="40" spans="1:61">
      <c r="A40">
        <v>10</v>
      </c>
      <c r="B40">
        <v>4</v>
      </c>
      <c r="C40">
        <v>50</v>
      </c>
      <c r="D40" t="s">
        <v>20</v>
      </c>
      <c r="E40" t="s">
        <v>21</v>
      </c>
      <c r="F40">
        <v>24.742254908606913</v>
      </c>
      <c r="G40">
        <v>159511.27819548873</v>
      </c>
      <c r="H40">
        <v>656.6862459804023</v>
      </c>
      <c r="I40">
        <v>1862.3596744874753</v>
      </c>
      <c r="J40">
        <v>57.948942201848695</v>
      </c>
      <c r="K40">
        <v>144.22916665937498</v>
      </c>
      <c r="L40">
        <v>3100.2375601926165</v>
      </c>
      <c r="M40">
        <f t="shared" si="41"/>
        <v>165357.48203991906</v>
      </c>
      <c r="N40">
        <f t="shared" si="42"/>
        <v>8.6597892180124187</v>
      </c>
      <c r="O40">
        <f t="shared" si="43"/>
        <v>31902.255639097748</v>
      </c>
      <c r="P40">
        <f t="shared" si="44"/>
        <v>229.8401860931408</v>
      </c>
      <c r="Q40">
        <f t="shared" si="45"/>
        <v>186.23596744874754</v>
      </c>
      <c r="R40">
        <f t="shared" si="46"/>
        <v>57.948942201848695</v>
      </c>
      <c r="S40">
        <f t="shared" si="47"/>
        <v>115.3833333275</v>
      </c>
      <c r="T40">
        <f t="shared" si="48"/>
        <v>2480.1900481540933</v>
      </c>
      <c r="U40">
        <f t="shared" si="49"/>
        <v>34980.513905541091</v>
      </c>
      <c r="V40">
        <f t="shared" si="50"/>
        <v>2.4742254908606913</v>
      </c>
      <c r="W40">
        <f t="shared" si="51"/>
        <v>15951.127819548874</v>
      </c>
      <c r="X40">
        <f t="shared" si="52"/>
        <v>65.668624598040239</v>
      </c>
      <c r="Y40">
        <f t="shared" si="53"/>
        <v>186.23596744874754</v>
      </c>
      <c r="Z40">
        <f t="shared" si="54"/>
        <v>57.948942201848695</v>
      </c>
      <c r="AA40">
        <f t="shared" si="55"/>
        <v>14.4229166659375</v>
      </c>
      <c r="AB40">
        <f t="shared" si="56"/>
        <v>310.02375601926167</v>
      </c>
      <c r="AC40">
        <f t="shared" si="57"/>
        <v>16587.90225197357</v>
      </c>
      <c r="AD40" s="92">
        <v>15.646536331436419</v>
      </c>
      <c r="AE40" s="92">
        <v>4215.0850648729001</v>
      </c>
      <c r="AF40" s="92">
        <v>154.52721700963158</v>
      </c>
      <c r="AG40">
        <f>Tableau4[[#This Row],[KUVC rest. à emporter / traiteur]]</f>
        <v>1862.3596744874753</v>
      </c>
      <c r="AH40">
        <v>57.948942201848695</v>
      </c>
      <c r="AI40">
        <v>759.97462181262608</v>
      </c>
      <c r="AJ40">
        <v>12.427820286112356</v>
      </c>
      <c r="AK40">
        <f t="shared" si="58"/>
        <v>7077.9698770020304</v>
      </c>
      <c r="AL40" s="92">
        <f>Tableau4[[#This Row],[KUVC Miel Conso]]*BC$94</f>
        <v>5.4762877160027461</v>
      </c>
      <c r="AM40" s="92">
        <f>Tableau4[[#This Row],[KUVC ind. Lait.  Conso]]*BD$94</f>
        <v>843.0170129745801</v>
      </c>
      <c r="AN40" s="92">
        <f>Tableau4[[#This Row],[KUVC fermiers   Conso]]*BE$94</f>
        <v>54.084525953371049</v>
      </c>
      <c r="AO40" s="92">
        <f>Tableau4[[#This Row],[KUVC rest. à emporter  Conso]]*BF$94</f>
        <v>186.23596744874754</v>
      </c>
      <c r="AP40" s="92">
        <f>Tableau4[[#This Row],[KUVC portage domicile  Conso]]*BG$94</f>
        <v>57.948942201848695</v>
      </c>
      <c r="AQ40" s="92">
        <f>Tableau4[[#This Row],[KUVC bière  Conso]]*BH$94</f>
        <v>607.97969745010084</v>
      </c>
      <c r="AR40" s="92">
        <f>Tableau4[[#This Row],[KUVC cidricole  Conso]]*BI$94</f>
        <v>9.9422562288898853</v>
      </c>
      <c r="AS40">
        <f t="shared" si="59"/>
        <v>1764.6846899735408</v>
      </c>
      <c r="AT40">
        <f t="shared" si="60"/>
        <v>5.4762877160027461</v>
      </c>
      <c r="AU40">
        <f t="shared" si="61"/>
        <v>843.0170129745801</v>
      </c>
      <c r="AV40">
        <f t="shared" si="62"/>
        <v>54.084525953371049</v>
      </c>
      <c r="AW40">
        <f t="shared" si="63"/>
        <v>186.23596744874754</v>
      </c>
      <c r="AX40">
        <f t="shared" si="64"/>
        <v>57.948942201848695</v>
      </c>
      <c r="AY40">
        <f t="shared" si="65"/>
        <v>115.3833333275</v>
      </c>
      <c r="AZ40">
        <f t="shared" si="66"/>
        <v>9.9422562288898853</v>
      </c>
      <c r="BA40">
        <f t="shared" si="67"/>
        <v>1272.08832585094</v>
      </c>
      <c r="BB40">
        <f t="shared" si="68"/>
        <v>15.646536331436419</v>
      </c>
      <c r="BC40">
        <f t="shared" si="69"/>
        <v>4215.0850648729001</v>
      </c>
      <c r="BD40">
        <f t="shared" si="70"/>
        <v>154.52721700963158</v>
      </c>
      <c r="BE40">
        <f t="shared" si="71"/>
        <v>1862.3596744874753</v>
      </c>
      <c r="BF40">
        <f t="shared" si="72"/>
        <v>57.948942201848695</v>
      </c>
      <c r="BG40">
        <f t="shared" si="73"/>
        <v>144.22916665937498</v>
      </c>
      <c r="BH40">
        <f t="shared" si="74"/>
        <v>12.427820286112356</v>
      </c>
      <c r="BI40">
        <f t="shared" si="75"/>
        <v>6462.2244218487795</v>
      </c>
    </row>
    <row r="41" spans="1:61">
      <c r="A41">
        <v>16</v>
      </c>
      <c r="B41">
        <v>4</v>
      </c>
      <c r="C41">
        <v>50</v>
      </c>
      <c r="D41" t="s">
        <v>32</v>
      </c>
      <c r="E41" t="s">
        <v>33</v>
      </c>
      <c r="F41">
        <v>24.742254908606913</v>
      </c>
      <c r="G41">
        <v>159511.27819548873</v>
      </c>
      <c r="H41">
        <v>1160.508721264225</v>
      </c>
      <c r="I41">
        <v>10761.492531406724</v>
      </c>
      <c r="J41">
        <v>222.2687998552407</v>
      </c>
      <c r="K41">
        <v>144.22916665937498</v>
      </c>
      <c r="L41">
        <v>3100.2375601926165</v>
      </c>
      <c r="M41">
        <f t="shared" si="41"/>
        <v>174924.75722977551</v>
      </c>
      <c r="N41">
        <f t="shared" si="42"/>
        <v>8.6597892180124187</v>
      </c>
      <c r="O41">
        <f t="shared" si="43"/>
        <v>31902.255639097748</v>
      </c>
      <c r="P41">
        <f t="shared" si="44"/>
        <v>406.1780524424787</v>
      </c>
      <c r="Q41">
        <f t="shared" si="45"/>
        <v>1076.1492531406725</v>
      </c>
      <c r="R41">
        <f t="shared" si="46"/>
        <v>222.2687998552407</v>
      </c>
      <c r="S41">
        <f t="shared" si="47"/>
        <v>115.3833333275</v>
      </c>
      <c r="T41">
        <f t="shared" si="48"/>
        <v>2480.1900481540933</v>
      </c>
      <c r="U41">
        <f t="shared" si="49"/>
        <v>36211.084915235748</v>
      </c>
      <c r="V41">
        <f t="shared" si="50"/>
        <v>2.4742254908606913</v>
      </c>
      <c r="W41">
        <f t="shared" si="51"/>
        <v>15951.127819548874</v>
      </c>
      <c r="X41">
        <f t="shared" si="52"/>
        <v>116.0508721264225</v>
      </c>
      <c r="Y41">
        <f t="shared" si="53"/>
        <v>1076.1492531406725</v>
      </c>
      <c r="Z41">
        <f t="shared" si="54"/>
        <v>222.2687998552407</v>
      </c>
      <c r="AA41">
        <f t="shared" si="55"/>
        <v>14.4229166659375</v>
      </c>
      <c r="AB41">
        <f t="shared" si="56"/>
        <v>310.02375601926167</v>
      </c>
      <c r="AC41">
        <f t="shared" si="57"/>
        <v>17692.51764284727</v>
      </c>
      <c r="AD41" s="92">
        <v>81.644902659036433</v>
      </c>
      <c r="AE41" s="92">
        <v>21994.657637401378</v>
      </c>
      <c r="AF41" s="92">
        <v>806.33562110323828</v>
      </c>
      <c r="AG41">
        <f>Tableau4[[#This Row],[KUVC rest. à emporter / traiteur]]</f>
        <v>10761.492531406724</v>
      </c>
      <c r="AH41">
        <v>222.2687998552407</v>
      </c>
      <c r="AI41">
        <v>3965.609557724626</v>
      </c>
      <c r="AJ41">
        <v>64.849379826320359</v>
      </c>
      <c r="AK41">
        <f t="shared" si="58"/>
        <v>37896.858429976564</v>
      </c>
      <c r="AL41" s="92">
        <f>Tableau4[[#This Row],[KUVC Miel Conso]]*BC$94</f>
        <v>28.575715930662749</v>
      </c>
      <c r="AM41" s="92">
        <f>Tableau4[[#This Row],[KUVC ind. Lait.  Conso]]*BD$94</f>
        <v>4398.9315274802757</v>
      </c>
      <c r="AN41" s="92">
        <f>Tableau4[[#This Row],[KUVC fermiers   Conso]]*BE$94</f>
        <v>282.21746738613336</v>
      </c>
      <c r="AO41" s="92">
        <f>Tableau4[[#This Row],[KUVC rest. à emporter  Conso]]*BF$94</f>
        <v>1076.1492531406725</v>
      </c>
      <c r="AP41" s="92">
        <f>Tableau4[[#This Row],[KUVC portage domicile  Conso]]*BG$94</f>
        <v>222.2687998552407</v>
      </c>
      <c r="AQ41" s="92">
        <f>Tableau4[[#This Row],[KUVC bière  Conso]]*BH$94</f>
        <v>3172.4876461797012</v>
      </c>
      <c r="AR41" s="92">
        <f>Tableau4[[#This Row],[KUVC cidricole  Conso]]*BI$94</f>
        <v>51.879503861056293</v>
      </c>
      <c r="AS41">
        <f t="shared" si="59"/>
        <v>9232.5099138337446</v>
      </c>
      <c r="AT41">
        <f t="shared" si="60"/>
        <v>8.6597892180124187</v>
      </c>
      <c r="AU41">
        <f t="shared" si="61"/>
        <v>4398.9315274802757</v>
      </c>
      <c r="AV41">
        <f t="shared" si="62"/>
        <v>282.21746738613336</v>
      </c>
      <c r="AW41">
        <f t="shared" si="63"/>
        <v>1076.1492531406725</v>
      </c>
      <c r="AX41">
        <f t="shared" si="64"/>
        <v>222.2687998552407</v>
      </c>
      <c r="AY41">
        <f t="shared" si="65"/>
        <v>115.3833333275</v>
      </c>
      <c r="AZ41">
        <f t="shared" si="66"/>
        <v>51.879503861056293</v>
      </c>
      <c r="BA41">
        <f t="shared" si="67"/>
        <v>6155.4896742688916</v>
      </c>
      <c r="BB41">
        <f t="shared" si="68"/>
        <v>24.742254908606913</v>
      </c>
      <c r="BC41">
        <f t="shared" si="69"/>
        <v>21994.657637401378</v>
      </c>
      <c r="BD41">
        <f t="shared" si="70"/>
        <v>806.33562110323828</v>
      </c>
      <c r="BE41">
        <f t="shared" si="71"/>
        <v>10761.492531406724</v>
      </c>
      <c r="BF41">
        <f t="shared" si="72"/>
        <v>222.2687998552407</v>
      </c>
      <c r="BG41">
        <f t="shared" si="73"/>
        <v>144.22916665937498</v>
      </c>
      <c r="BH41">
        <f t="shared" si="74"/>
        <v>64.849379826320359</v>
      </c>
      <c r="BI41">
        <f t="shared" si="75"/>
        <v>34018.575391160884</v>
      </c>
    </row>
    <row r="42" spans="1:61">
      <c r="A42">
        <v>3</v>
      </c>
      <c r="B42">
        <v>1</v>
      </c>
      <c r="C42">
        <v>61</v>
      </c>
      <c r="D42" t="s">
        <v>6</v>
      </c>
      <c r="E42" t="s">
        <v>7</v>
      </c>
      <c r="F42">
        <v>9.8969019634427653</v>
      </c>
      <c r="G42">
        <v>34029.07268170426</v>
      </c>
      <c r="H42">
        <v>339.24171365863685</v>
      </c>
      <c r="I42">
        <v>786.51523245922863</v>
      </c>
      <c r="J42">
        <v>23.776708837854549</v>
      </c>
      <c r="K42">
        <v>41.208333331249996</v>
      </c>
      <c r="L42">
        <v>2264.5213483146067</v>
      </c>
      <c r="M42">
        <f t="shared" si="41"/>
        <v>37494.232920269278</v>
      </c>
      <c r="N42">
        <f t="shared" si="42"/>
        <v>3.4639156872049677</v>
      </c>
      <c r="O42">
        <f t="shared" si="43"/>
        <v>6805.8145363408521</v>
      </c>
      <c r="P42">
        <f t="shared" si="44"/>
        <v>118.73459978052288</v>
      </c>
      <c r="Q42">
        <f t="shared" si="45"/>
        <v>78.651523245922874</v>
      </c>
      <c r="R42">
        <f t="shared" si="46"/>
        <v>23.776708837854549</v>
      </c>
      <c r="S42">
        <f t="shared" si="47"/>
        <v>32.966666664999998</v>
      </c>
      <c r="T42">
        <f t="shared" si="48"/>
        <v>1811.6170786516855</v>
      </c>
      <c r="U42">
        <f t="shared" si="49"/>
        <v>8875.0250292090441</v>
      </c>
      <c r="V42">
        <f t="shared" si="50"/>
        <v>0.98969019634427657</v>
      </c>
      <c r="W42">
        <f t="shared" si="51"/>
        <v>3402.9072681704261</v>
      </c>
      <c r="X42">
        <f t="shared" si="52"/>
        <v>33.924171365863685</v>
      </c>
      <c r="Y42">
        <f t="shared" si="53"/>
        <v>78.651523245922874</v>
      </c>
      <c r="Z42">
        <f t="shared" si="54"/>
        <v>23.776708837854549</v>
      </c>
      <c r="AA42">
        <f t="shared" si="55"/>
        <v>4.1208333331249998</v>
      </c>
      <c r="AB42">
        <f t="shared" si="56"/>
        <v>226.45213483146068</v>
      </c>
      <c r="AC42">
        <f t="shared" si="57"/>
        <v>3770.8223299809974</v>
      </c>
      <c r="AD42" s="92">
        <v>6.7480641199966769</v>
      </c>
      <c r="AE42" s="92">
        <v>1817.8888724308117</v>
      </c>
      <c r="AF42" s="92">
        <v>66.644754249575513</v>
      </c>
      <c r="AG42">
        <f>Tableau4[[#This Row],[KUVC rest. à emporter / traiteur]]</f>
        <v>786.51523245922863</v>
      </c>
      <c r="AH42">
        <v>23.776708837854549</v>
      </c>
      <c r="AI42">
        <v>327.76311439983857</v>
      </c>
      <c r="AJ42">
        <v>5.35989092959736</v>
      </c>
      <c r="AK42">
        <f t="shared" si="58"/>
        <v>3034.6966374269032</v>
      </c>
      <c r="AL42" s="92">
        <f>Tableau4[[#This Row],[KUVC Miel Conso]]*BC$94</f>
        <v>2.3618224419988367</v>
      </c>
      <c r="AM42" s="92">
        <f>Tableau4[[#This Row],[KUVC ind. Lait.  Conso]]*BD$94</f>
        <v>363.57777448616235</v>
      </c>
      <c r="AN42" s="92">
        <f>Tableau4[[#This Row],[KUVC fermiers   Conso]]*BE$94</f>
        <v>23.32566398735143</v>
      </c>
      <c r="AO42" s="92">
        <f>Tableau4[[#This Row],[KUVC rest. à emporter  Conso]]*BF$94</f>
        <v>78.651523245922874</v>
      </c>
      <c r="AP42" s="92">
        <f>Tableau4[[#This Row],[KUVC portage domicile  Conso]]*BG$94</f>
        <v>23.776708837854549</v>
      </c>
      <c r="AQ42" s="92">
        <f>Tableau4[[#This Row],[KUVC bière  Conso]]*BH$94</f>
        <v>262.21049151987086</v>
      </c>
      <c r="AR42" s="92">
        <f>Tableau4[[#This Row],[KUVC cidricole  Conso]]*BI$94</f>
        <v>4.2879127436778885</v>
      </c>
      <c r="AS42">
        <f t="shared" si="59"/>
        <v>758.19189726283878</v>
      </c>
      <c r="AT42">
        <f t="shared" si="60"/>
        <v>2.3618224419988367</v>
      </c>
      <c r="AU42">
        <f t="shared" si="61"/>
        <v>363.57777448616235</v>
      </c>
      <c r="AV42">
        <f t="shared" si="62"/>
        <v>23.32566398735143</v>
      </c>
      <c r="AW42">
        <f t="shared" si="63"/>
        <v>78.651523245922874</v>
      </c>
      <c r="AX42">
        <f t="shared" si="64"/>
        <v>23.776708837854549</v>
      </c>
      <c r="AY42">
        <f t="shared" si="65"/>
        <v>32.966666664999998</v>
      </c>
      <c r="AZ42">
        <f t="shared" si="66"/>
        <v>4.2879127436778885</v>
      </c>
      <c r="BA42">
        <f t="shared" si="67"/>
        <v>528.94807240796797</v>
      </c>
      <c r="BB42">
        <f t="shared" si="68"/>
        <v>6.7480641199966769</v>
      </c>
      <c r="BC42">
        <f t="shared" si="69"/>
        <v>1817.8888724308117</v>
      </c>
      <c r="BD42">
        <f t="shared" si="70"/>
        <v>66.644754249575513</v>
      </c>
      <c r="BE42">
        <f t="shared" si="71"/>
        <v>786.51523245922863</v>
      </c>
      <c r="BF42">
        <f t="shared" si="72"/>
        <v>23.776708837854549</v>
      </c>
      <c r="BG42">
        <f t="shared" si="73"/>
        <v>41.208333331249996</v>
      </c>
      <c r="BH42">
        <f t="shared" si="74"/>
        <v>5.35989092959736</v>
      </c>
      <c r="BI42">
        <f t="shared" si="75"/>
        <v>2748.1418563583143</v>
      </c>
    </row>
    <row r="43" spans="1:61">
      <c r="A43">
        <v>4</v>
      </c>
      <c r="B43">
        <v>1</v>
      </c>
      <c r="C43">
        <v>61</v>
      </c>
      <c r="D43" t="s">
        <v>8</v>
      </c>
      <c r="E43" t="s">
        <v>9</v>
      </c>
      <c r="F43">
        <v>9.8969019634427653</v>
      </c>
      <c r="G43">
        <v>34029.07268170426</v>
      </c>
      <c r="H43">
        <v>433.54510701237558</v>
      </c>
      <c r="I43">
        <v>1288.7376661281919</v>
      </c>
      <c r="J43">
        <v>41.880664083115938</v>
      </c>
      <c r="K43">
        <v>41.208333331249996</v>
      </c>
      <c r="L43">
        <v>2264.5213483146067</v>
      </c>
      <c r="M43">
        <f t="shared" si="41"/>
        <v>38108.862702537241</v>
      </c>
      <c r="N43">
        <f t="shared" si="42"/>
        <v>3.4639156872049677</v>
      </c>
      <c r="O43">
        <f t="shared" si="43"/>
        <v>6805.8145363408521</v>
      </c>
      <c r="P43">
        <f t="shared" si="44"/>
        <v>151.74078745433144</v>
      </c>
      <c r="Q43">
        <f t="shared" si="45"/>
        <v>128.8737666128192</v>
      </c>
      <c r="R43">
        <f t="shared" si="46"/>
        <v>41.880664083115938</v>
      </c>
      <c r="S43">
        <f t="shared" si="47"/>
        <v>32.966666664999998</v>
      </c>
      <c r="T43">
        <f t="shared" si="48"/>
        <v>1811.6170786516855</v>
      </c>
      <c r="U43">
        <f t="shared" si="49"/>
        <v>8976.3574154950093</v>
      </c>
      <c r="V43">
        <f t="shared" si="50"/>
        <v>0.98969019634427657</v>
      </c>
      <c r="W43">
        <f t="shared" si="51"/>
        <v>3402.9072681704261</v>
      </c>
      <c r="X43">
        <f t="shared" si="52"/>
        <v>43.354510701237558</v>
      </c>
      <c r="Y43">
        <f t="shared" si="53"/>
        <v>128.8737666128192</v>
      </c>
      <c r="Z43">
        <f t="shared" si="54"/>
        <v>41.880664083115938</v>
      </c>
      <c r="AA43">
        <f t="shared" si="55"/>
        <v>4.1208333331249998</v>
      </c>
      <c r="AB43">
        <f t="shared" si="56"/>
        <v>226.45213483146068</v>
      </c>
      <c r="AC43">
        <f t="shared" si="57"/>
        <v>3848.5788679285283</v>
      </c>
      <c r="AD43" s="92">
        <v>10.724023499498719</v>
      </c>
      <c r="AE43" s="92">
        <v>2888.9889960670466</v>
      </c>
      <c r="AF43" s="92">
        <v>105.91184345342543</v>
      </c>
      <c r="AG43">
        <f>Tableau4[[#This Row],[KUVC rest. à emporter / traiteur]]</f>
        <v>1288.7376661281919</v>
      </c>
      <c r="AH43">
        <v>41.880664083115938</v>
      </c>
      <c r="AI43">
        <v>520.88114140422363</v>
      </c>
      <c r="AJ43">
        <v>8.5179386653161266</v>
      </c>
      <c r="AK43">
        <f t="shared" si="58"/>
        <v>4865.6422733008185</v>
      </c>
      <c r="AL43" s="92">
        <f>Tableau4[[#This Row],[KUVC Miel Conso]]*BC$94</f>
        <v>3.7534082248245513</v>
      </c>
      <c r="AM43" s="92">
        <f>Tableau4[[#This Row],[KUVC ind. Lait.  Conso]]*BD$94</f>
        <v>577.79779921340935</v>
      </c>
      <c r="AN43" s="92">
        <f>Tableau4[[#This Row],[KUVC fermiers   Conso]]*BE$94</f>
        <v>37.069145208698899</v>
      </c>
      <c r="AO43" s="92">
        <f>Tableau4[[#This Row],[KUVC rest. à emporter  Conso]]*BF$94</f>
        <v>128.8737666128192</v>
      </c>
      <c r="AP43" s="92">
        <f>Tableau4[[#This Row],[KUVC portage domicile  Conso]]*BG$94</f>
        <v>41.880664083115938</v>
      </c>
      <c r="AQ43" s="92">
        <f>Tableau4[[#This Row],[KUVC bière  Conso]]*BH$94</f>
        <v>416.7049131233789</v>
      </c>
      <c r="AR43" s="92">
        <f>Tableau4[[#This Row],[KUVC cidricole  Conso]]*BI$94</f>
        <v>6.8143509322529017</v>
      </c>
      <c r="AS43">
        <f t="shared" si="59"/>
        <v>1212.8940473984997</v>
      </c>
      <c r="AT43">
        <f t="shared" si="60"/>
        <v>3.4639156872049677</v>
      </c>
      <c r="AU43">
        <f t="shared" si="61"/>
        <v>577.79779921340935</v>
      </c>
      <c r="AV43">
        <f t="shared" si="62"/>
        <v>37.069145208698899</v>
      </c>
      <c r="AW43">
        <f t="shared" si="63"/>
        <v>128.8737666128192</v>
      </c>
      <c r="AX43">
        <f t="shared" si="64"/>
        <v>41.880664083115938</v>
      </c>
      <c r="AY43">
        <f t="shared" si="65"/>
        <v>32.966666664999998</v>
      </c>
      <c r="AZ43">
        <f t="shared" si="66"/>
        <v>6.8143509322529017</v>
      </c>
      <c r="BA43">
        <f t="shared" si="67"/>
        <v>828.86630840250109</v>
      </c>
      <c r="BB43">
        <f t="shared" si="68"/>
        <v>9.8969019634427653</v>
      </c>
      <c r="BC43">
        <f t="shared" si="69"/>
        <v>2888.9889960670466</v>
      </c>
      <c r="BD43">
        <f t="shared" si="70"/>
        <v>105.91184345342543</v>
      </c>
      <c r="BE43">
        <f t="shared" si="71"/>
        <v>1288.7376661281919</v>
      </c>
      <c r="BF43">
        <f t="shared" si="72"/>
        <v>41.880664083115938</v>
      </c>
      <c r="BG43">
        <f t="shared" si="73"/>
        <v>41.208333331249996</v>
      </c>
      <c r="BH43">
        <f t="shared" si="74"/>
        <v>8.5179386653161266</v>
      </c>
      <c r="BI43">
        <f t="shared" si="75"/>
        <v>4385.1423436917894</v>
      </c>
    </row>
    <row r="44" spans="1:61">
      <c r="A44">
        <v>28</v>
      </c>
      <c r="B44">
        <v>1</v>
      </c>
      <c r="C44">
        <v>61</v>
      </c>
      <c r="D44" t="s">
        <v>56</v>
      </c>
      <c r="E44" t="s">
        <v>57</v>
      </c>
      <c r="F44">
        <v>9.8969019634427653</v>
      </c>
      <c r="G44">
        <v>34029.07268170426</v>
      </c>
      <c r="H44">
        <v>469.24110434929173</v>
      </c>
      <c r="I44">
        <v>1453.4053984172401</v>
      </c>
      <c r="J44">
        <v>64.137400666495765</v>
      </c>
      <c r="K44">
        <v>41.208333331249996</v>
      </c>
      <c r="L44">
        <v>2264.5213483146067</v>
      </c>
      <c r="M44">
        <f t="shared" si="41"/>
        <v>38331.483168746592</v>
      </c>
      <c r="N44">
        <f t="shared" si="42"/>
        <v>3.4639156872049677</v>
      </c>
      <c r="O44">
        <f t="shared" si="43"/>
        <v>6805.8145363408521</v>
      </c>
      <c r="P44">
        <f t="shared" si="44"/>
        <v>164.23438652225209</v>
      </c>
      <c r="Q44">
        <f t="shared" si="45"/>
        <v>145.34053984172402</v>
      </c>
      <c r="R44">
        <f t="shared" si="46"/>
        <v>64.137400666495765</v>
      </c>
      <c r="S44">
        <f t="shared" si="47"/>
        <v>32.966666664999998</v>
      </c>
      <c r="T44">
        <f t="shared" si="48"/>
        <v>1811.6170786516855</v>
      </c>
      <c r="U44">
        <f t="shared" si="49"/>
        <v>9027.5745243752153</v>
      </c>
      <c r="V44">
        <f t="shared" si="50"/>
        <v>0.98969019634427657</v>
      </c>
      <c r="W44">
        <f t="shared" si="51"/>
        <v>3402.9072681704261</v>
      </c>
      <c r="X44">
        <f t="shared" si="52"/>
        <v>46.924110434929176</v>
      </c>
      <c r="Y44">
        <f t="shared" si="53"/>
        <v>145.34053984172402</v>
      </c>
      <c r="Z44">
        <f t="shared" si="54"/>
        <v>64.137400666495765</v>
      </c>
      <c r="AA44">
        <f t="shared" si="55"/>
        <v>4.1208333331249998</v>
      </c>
      <c r="AB44">
        <f t="shared" si="56"/>
        <v>226.45213483146068</v>
      </c>
      <c r="AC44">
        <f t="shared" si="57"/>
        <v>3890.8719774745055</v>
      </c>
      <c r="AD44" s="92">
        <v>11.930063003851956</v>
      </c>
      <c r="AE44" s="92">
        <v>3213.8889608108316</v>
      </c>
      <c r="AF44" s="92">
        <v>117.82284562436226</v>
      </c>
      <c r="AG44">
        <f>Tableau4[[#This Row],[KUVC rest. à emporter / traiteur]]</f>
        <v>1453.4053984172401</v>
      </c>
      <c r="AH44">
        <v>64.137400666495765</v>
      </c>
      <c r="AI44">
        <v>579.46020304423791</v>
      </c>
      <c r="AJ44">
        <v>9.475878614488126</v>
      </c>
      <c r="AK44">
        <f t="shared" si="58"/>
        <v>5450.1207501815079</v>
      </c>
      <c r="AL44" s="92">
        <f>Tableau4[[#This Row],[KUVC Miel Conso]]*BC$94</f>
        <v>4.1755220513481843</v>
      </c>
      <c r="AM44" s="92">
        <f>Tableau4[[#This Row],[KUVC ind. Lait.  Conso]]*BD$94</f>
        <v>642.77779216216641</v>
      </c>
      <c r="AN44" s="92">
        <f>Tableau4[[#This Row],[KUVC fermiers   Conso]]*BE$94</f>
        <v>41.237995968526789</v>
      </c>
      <c r="AO44" s="92">
        <f>Tableau4[[#This Row],[KUVC rest. à emporter  Conso]]*BF$94</f>
        <v>145.34053984172402</v>
      </c>
      <c r="AP44" s="92">
        <f>Tableau4[[#This Row],[KUVC portage domicile  Conso]]*BG$94</f>
        <v>64.137400666495765</v>
      </c>
      <c r="AQ44" s="92">
        <f>Tableau4[[#This Row],[KUVC bière  Conso]]*BH$94</f>
        <v>463.56816243539038</v>
      </c>
      <c r="AR44" s="92">
        <f>Tableau4[[#This Row],[KUVC cidricole  Conso]]*BI$94</f>
        <v>7.5807028915905015</v>
      </c>
      <c r="AS44">
        <f t="shared" si="59"/>
        <v>1368.8181160172421</v>
      </c>
      <c r="AT44">
        <f t="shared" si="60"/>
        <v>3.4639156872049677</v>
      </c>
      <c r="AU44">
        <f t="shared" si="61"/>
        <v>642.77779216216641</v>
      </c>
      <c r="AV44">
        <f t="shared" si="62"/>
        <v>41.237995968526789</v>
      </c>
      <c r="AW44">
        <f t="shared" si="63"/>
        <v>145.34053984172402</v>
      </c>
      <c r="AX44">
        <f t="shared" si="64"/>
        <v>64.137400666495765</v>
      </c>
      <c r="AY44">
        <f t="shared" si="65"/>
        <v>32.966666664999998</v>
      </c>
      <c r="AZ44">
        <f t="shared" si="66"/>
        <v>7.5807028915905015</v>
      </c>
      <c r="BA44">
        <f t="shared" si="67"/>
        <v>937.50501388270834</v>
      </c>
      <c r="BB44">
        <f t="shared" si="68"/>
        <v>9.8969019634427653</v>
      </c>
      <c r="BC44">
        <f t="shared" si="69"/>
        <v>3213.8889608108316</v>
      </c>
      <c r="BD44">
        <f t="shared" si="70"/>
        <v>117.82284562436226</v>
      </c>
      <c r="BE44">
        <f t="shared" si="71"/>
        <v>1453.4053984172401</v>
      </c>
      <c r="BF44">
        <f t="shared" si="72"/>
        <v>64.137400666495765</v>
      </c>
      <c r="BG44">
        <f t="shared" si="73"/>
        <v>41.208333331249996</v>
      </c>
      <c r="BH44">
        <f t="shared" si="74"/>
        <v>9.475878614488126</v>
      </c>
      <c r="BI44">
        <f t="shared" si="75"/>
        <v>4909.8357194281116</v>
      </c>
    </row>
    <row r="45" spans="1:61">
      <c r="A45">
        <v>50</v>
      </c>
      <c r="B45">
        <v>1</v>
      </c>
      <c r="C45">
        <v>61</v>
      </c>
      <c r="D45" t="s">
        <v>100</v>
      </c>
      <c r="E45" t="s">
        <v>101</v>
      </c>
      <c r="F45">
        <v>9.8969019634427653</v>
      </c>
      <c r="G45">
        <v>34029.07268170426</v>
      </c>
      <c r="H45">
        <v>276.71374867966318</v>
      </c>
      <c r="I45">
        <v>495.66698691645558</v>
      </c>
      <c r="J45">
        <v>15.905423948610462</v>
      </c>
      <c r="K45">
        <v>41.208333331249996</v>
      </c>
      <c r="L45">
        <v>2264.5213483146067</v>
      </c>
      <c r="M45">
        <f t="shared" si="41"/>
        <v>37132.985424858292</v>
      </c>
      <c r="N45">
        <f t="shared" si="42"/>
        <v>3.4639156872049677</v>
      </c>
      <c r="O45">
        <f t="shared" si="43"/>
        <v>6805.8145363408521</v>
      </c>
      <c r="P45">
        <f t="shared" si="44"/>
        <v>96.849812037882103</v>
      </c>
      <c r="Q45">
        <f t="shared" si="45"/>
        <v>49.566698691645563</v>
      </c>
      <c r="R45">
        <f t="shared" si="46"/>
        <v>15.905423948610462</v>
      </c>
      <c r="S45">
        <f t="shared" si="47"/>
        <v>32.966666664999998</v>
      </c>
      <c r="T45">
        <f t="shared" si="48"/>
        <v>1811.6170786516855</v>
      </c>
      <c r="U45">
        <f t="shared" si="49"/>
        <v>8816.1841320228814</v>
      </c>
      <c r="V45">
        <f t="shared" si="50"/>
        <v>0.98969019634427657</v>
      </c>
      <c r="W45">
        <f t="shared" si="51"/>
        <v>3402.9072681704261</v>
      </c>
      <c r="X45">
        <f t="shared" si="52"/>
        <v>27.671374867966321</v>
      </c>
      <c r="Y45">
        <f t="shared" si="53"/>
        <v>49.566698691645563</v>
      </c>
      <c r="Z45">
        <f t="shared" si="54"/>
        <v>15.905423948610462</v>
      </c>
      <c r="AA45">
        <f t="shared" si="55"/>
        <v>4.1208333331249998</v>
      </c>
      <c r="AB45">
        <f t="shared" si="56"/>
        <v>226.45213483146068</v>
      </c>
      <c r="AC45">
        <f t="shared" si="57"/>
        <v>3727.6134240395781</v>
      </c>
      <c r="AD45" s="92">
        <v>4.3889409036458389</v>
      </c>
      <c r="AE45" s="92">
        <v>1182.3549226290002</v>
      </c>
      <c r="AF45" s="92">
        <v>43.345748163923922</v>
      </c>
      <c r="AG45">
        <f>Tableau4[[#This Row],[KUVC rest. à emporter / traiteur]]</f>
        <v>495.66698691645558</v>
      </c>
      <c r="AH45">
        <v>15.905423948610462</v>
      </c>
      <c r="AI45">
        <v>213.17712960565504</v>
      </c>
      <c r="AJ45">
        <v>3.4860730606101233</v>
      </c>
      <c r="AK45">
        <f t="shared" si="58"/>
        <v>1958.3252252279008</v>
      </c>
      <c r="AL45" s="92">
        <f>Tableau4[[#This Row],[KUVC Miel Conso]]*BC$94</f>
        <v>1.5361293162760434</v>
      </c>
      <c r="AM45" s="92">
        <f>Tableau4[[#This Row],[KUVC ind. Lait.  Conso]]*BD$94</f>
        <v>236.47098452580005</v>
      </c>
      <c r="AN45" s="92">
        <f>Tableau4[[#This Row],[KUVC fermiers   Conso]]*BE$94</f>
        <v>15.171011857373372</v>
      </c>
      <c r="AO45" s="92">
        <f>Tableau4[[#This Row],[KUVC rest. à emporter  Conso]]*BF$94</f>
        <v>49.566698691645563</v>
      </c>
      <c r="AP45" s="92">
        <f>Tableau4[[#This Row],[KUVC portage domicile  Conso]]*BG$94</f>
        <v>15.905423948610462</v>
      </c>
      <c r="AQ45" s="92">
        <f>Tableau4[[#This Row],[KUVC bière  Conso]]*BH$94</f>
        <v>170.54170368452404</v>
      </c>
      <c r="AR45" s="92">
        <f>Tableau4[[#This Row],[KUVC cidricole  Conso]]*BI$94</f>
        <v>2.7888584484880989</v>
      </c>
      <c r="AS45">
        <f t="shared" si="59"/>
        <v>491.98081047271762</v>
      </c>
      <c r="AT45">
        <f t="shared" si="60"/>
        <v>1.5361293162760434</v>
      </c>
      <c r="AU45">
        <f t="shared" si="61"/>
        <v>236.47098452580005</v>
      </c>
      <c r="AV45">
        <f t="shared" si="62"/>
        <v>15.171011857373372</v>
      </c>
      <c r="AW45">
        <f t="shared" si="63"/>
        <v>49.566698691645563</v>
      </c>
      <c r="AX45">
        <f t="shared" si="64"/>
        <v>15.905423948610462</v>
      </c>
      <c r="AY45">
        <f t="shared" si="65"/>
        <v>32.966666664999998</v>
      </c>
      <c r="AZ45">
        <f t="shared" si="66"/>
        <v>2.7888584484880989</v>
      </c>
      <c r="BA45">
        <f t="shared" si="67"/>
        <v>354.40577345319355</v>
      </c>
      <c r="BB45">
        <f t="shared" si="68"/>
        <v>4.3889409036458389</v>
      </c>
      <c r="BC45">
        <f t="shared" si="69"/>
        <v>1182.3549226290002</v>
      </c>
      <c r="BD45">
        <f t="shared" si="70"/>
        <v>43.345748163923922</v>
      </c>
      <c r="BE45">
        <f t="shared" si="71"/>
        <v>495.66698691645558</v>
      </c>
      <c r="BF45">
        <f t="shared" si="72"/>
        <v>15.905423948610462</v>
      </c>
      <c r="BG45">
        <f t="shared" si="73"/>
        <v>41.208333331249996</v>
      </c>
      <c r="BH45">
        <f t="shared" si="74"/>
        <v>3.4860730606101233</v>
      </c>
      <c r="BI45">
        <f t="shared" si="75"/>
        <v>1786.3564289534959</v>
      </c>
    </row>
    <row r="46" spans="1:61">
      <c r="A46">
        <v>64</v>
      </c>
      <c r="B46">
        <v>1</v>
      </c>
      <c r="C46">
        <v>61</v>
      </c>
      <c r="D46" t="s">
        <v>128</v>
      </c>
      <c r="E46" t="s">
        <v>129</v>
      </c>
      <c r="F46">
        <v>9.8969019634427653</v>
      </c>
      <c r="G46">
        <v>34029.07268170426</v>
      </c>
      <c r="H46">
        <v>268.94993399330326</v>
      </c>
      <c r="I46">
        <v>8034.8580956346968</v>
      </c>
      <c r="J46">
        <v>150.80296153324184</v>
      </c>
      <c r="K46">
        <v>41.208333331249996</v>
      </c>
      <c r="L46">
        <v>2264.5213483146067</v>
      </c>
      <c r="M46">
        <f t="shared" si="41"/>
        <v>44799.310256474804</v>
      </c>
      <c r="N46">
        <f t="shared" si="42"/>
        <v>3.4639156872049677</v>
      </c>
      <c r="O46">
        <f t="shared" si="43"/>
        <v>6805.8145363408521</v>
      </c>
      <c r="P46">
        <f t="shared" si="44"/>
        <v>94.132476897656133</v>
      </c>
      <c r="Q46">
        <f t="shared" si="45"/>
        <v>803.48580956346973</v>
      </c>
      <c r="R46">
        <f t="shared" si="46"/>
        <v>150.80296153324184</v>
      </c>
      <c r="S46">
        <f t="shared" si="47"/>
        <v>32.966666664999998</v>
      </c>
      <c r="T46">
        <f t="shared" si="48"/>
        <v>1811.6170786516855</v>
      </c>
      <c r="U46">
        <f t="shared" si="49"/>
        <v>9702.2834453391115</v>
      </c>
      <c r="V46">
        <f t="shared" si="50"/>
        <v>0.98969019634427657</v>
      </c>
      <c r="W46">
        <f t="shared" si="51"/>
        <v>3402.9072681704261</v>
      </c>
      <c r="X46">
        <f t="shared" si="52"/>
        <v>26.894993399330328</v>
      </c>
      <c r="Y46">
        <f t="shared" si="53"/>
        <v>803.48580956346973</v>
      </c>
      <c r="Z46">
        <f t="shared" si="54"/>
        <v>150.80296153324184</v>
      </c>
      <c r="AA46">
        <f t="shared" si="55"/>
        <v>4.1208333331249998</v>
      </c>
      <c r="AB46">
        <f t="shared" si="56"/>
        <v>226.45213483146068</v>
      </c>
      <c r="AC46">
        <f t="shared" si="57"/>
        <v>4615.6536910273981</v>
      </c>
      <c r="AD46" s="92">
        <v>39.097078889587927</v>
      </c>
      <c r="AE46" s="92">
        <v>10532.523608854875</v>
      </c>
      <c r="AF46" s="92">
        <v>386.12780912255732</v>
      </c>
      <c r="AG46">
        <f>Tableau4[[#This Row],[KUVC rest. à emporter / traiteur]]</f>
        <v>8034.8580956346968</v>
      </c>
      <c r="AH46">
        <v>150.80296153324184</v>
      </c>
      <c r="AI46">
        <v>1899.0009746371279</v>
      </c>
      <c r="AJ46">
        <v>31.054251232301265</v>
      </c>
      <c r="AK46">
        <f t="shared" si="58"/>
        <v>21073.464779904389</v>
      </c>
      <c r="AL46" s="92">
        <f>Tableau4[[#This Row],[KUVC Miel Conso]]*BC$94</f>
        <v>13.683977611355774</v>
      </c>
      <c r="AM46" s="92">
        <f>Tableau4[[#This Row],[KUVC ind. Lait.  Conso]]*BD$94</f>
        <v>2106.5047217709753</v>
      </c>
      <c r="AN46" s="92">
        <f>Tableau4[[#This Row],[KUVC fermiers   Conso]]*BE$94</f>
        <v>135.14473319289505</v>
      </c>
      <c r="AO46" s="92">
        <f>Tableau4[[#This Row],[KUVC rest. à emporter  Conso]]*BF$94</f>
        <v>803.48580956346973</v>
      </c>
      <c r="AP46" s="92">
        <f>Tableau4[[#This Row],[KUVC portage domicile  Conso]]*BG$94</f>
        <v>150.80296153324184</v>
      </c>
      <c r="AQ46" s="92">
        <f>Tableau4[[#This Row],[KUVC bière  Conso]]*BH$94</f>
        <v>1519.2007797097024</v>
      </c>
      <c r="AR46" s="92">
        <f>Tableau4[[#This Row],[KUVC cidricole  Conso]]*BI$94</f>
        <v>24.843400985841015</v>
      </c>
      <c r="AS46">
        <f t="shared" si="59"/>
        <v>4753.6663843674805</v>
      </c>
      <c r="AT46">
        <f t="shared" si="60"/>
        <v>3.4639156872049677</v>
      </c>
      <c r="AU46">
        <f t="shared" si="61"/>
        <v>2106.5047217709753</v>
      </c>
      <c r="AV46">
        <f t="shared" si="62"/>
        <v>94.132476897656133</v>
      </c>
      <c r="AW46">
        <f t="shared" si="63"/>
        <v>803.48580956346973</v>
      </c>
      <c r="AX46">
        <f t="shared" si="64"/>
        <v>150.80296153324184</v>
      </c>
      <c r="AY46">
        <f t="shared" si="65"/>
        <v>32.966666664999998</v>
      </c>
      <c r="AZ46">
        <f t="shared" si="66"/>
        <v>24.843400985841015</v>
      </c>
      <c r="BA46">
        <f t="shared" si="67"/>
        <v>3216.1999531033889</v>
      </c>
      <c r="BB46">
        <f t="shared" si="68"/>
        <v>9.8969019634427653</v>
      </c>
      <c r="BC46">
        <f t="shared" si="69"/>
        <v>10532.523608854875</v>
      </c>
      <c r="BD46">
        <f t="shared" si="70"/>
        <v>268.94993399330326</v>
      </c>
      <c r="BE46">
        <f t="shared" si="71"/>
        <v>8034.8580956346968</v>
      </c>
      <c r="BF46">
        <f t="shared" si="72"/>
        <v>150.80296153324184</v>
      </c>
      <c r="BG46">
        <f t="shared" si="73"/>
        <v>41.208333331249996</v>
      </c>
      <c r="BH46">
        <f t="shared" si="74"/>
        <v>31.054251232301265</v>
      </c>
      <c r="BI46">
        <f t="shared" si="75"/>
        <v>19069.294086543112</v>
      </c>
    </row>
    <row r="47" spans="1:61">
      <c r="A47">
        <v>5</v>
      </c>
      <c r="B47">
        <v>2</v>
      </c>
      <c r="C47">
        <v>61</v>
      </c>
      <c r="D47" t="s">
        <v>10</v>
      </c>
      <c r="E47" t="s">
        <v>11</v>
      </c>
      <c r="F47">
        <v>30.927818635758637</v>
      </c>
      <c r="G47">
        <v>85072.681704260642</v>
      </c>
      <c r="H47">
        <v>718.97503513682693</v>
      </c>
      <c r="I47">
        <v>7517.0787366122913</v>
      </c>
      <c r="J47">
        <v>178.48817045403138</v>
      </c>
      <c r="K47">
        <v>51.510416664062497</v>
      </c>
      <c r="L47">
        <v>2134.2215088282505</v>
      </c>
      <c r="M47">
        <f t="shared" si="41"/>
        <v>95703.883390591873</v>
      </c>
      <c r="N47">
        <f t="shared" si="42"/>
        <v>10.824736522515522</v>
      </c>
      <c r="O47">
        <f t="shared" si="43"/>
        <v>17014.53634085213</v>
      </c>
      <c r="P47">
        <f t="shared" si="44"/>
        <v>251.6412622978894</v>
      </c>
      <c r="Q47">
        <f t="shared" si="45"/>
        <v>751.7078736612292</v>
      </c>
      <c r="R47">
        <f t="shared" si="46"/>
        <v>178.48817045403138</v>
      </c>
      <c r="S47">
        <f t="shared" si="47"/>
        <v>41.208333331250003</v>
      </c>
      <c r="T47">
        <f t="shared" si="48"/>
        <v>1707.3772070626005</v>
      </c>
      <c r="U47">
        <f t="shared" si="49"/>
        <v>19955.783924181644</v>
      </c>
      <c r="V47">
        <f t="shared" si="50"/>
        <v>3.0927818635758637</v>
      </c>
      <c r="W47">
        <f t="shared" si="51"/>
        <v>8507.2681704260649</v>
      </c>
      <c r="X47">
        <f t="shared" si="52"/>
        <v>71.897503513682693</v>
      </c>
      <c r="Y47">
        <f t="shared" si="53"/>
        <v>751.7078736612292</v>
      </c>
      <c r="Z47">
        <f t="shared" si="54"/>
        <v>178.48817045403138</v>
      </c>
      <c r="AA47">
        <f t="shared" si="55"/>
        <v>5.1510416664062504</v>
      </c>
      <c r="AB47">
        <f t="shared" si="56"/>
        <v>213.42215088282506</v>
      </c>
      <c r="AC47">
        <f t="shared" si="57"/>
        <v>9731.0276924678146</v>
      </c>
      <c r="AD47" s="92">
        <v>50.234178791456962</v>
      </c>
      <c r="AE47" s="92">
        <v>13532.792963552112</v>
      </c>
      <c r="AF47" s="92">
        <v>496.11924856569624</v>
      </c>
      <c r="AG47">
        <f>Tableau4[[#This Row],[KUVC rest. à emporter / traiteur]]</f>
        <v>7517.0787366122913</v>
      </c>
      <c r="AH47">
        <v>178.48817045403138</v>
      </c>
      <c r="AI47">
        <v>2439.9458270136238</v>
      </c>
      <c r="AJ47">
        <v>39.900290582928669</v>
      </c>
      <c r="AK47">
        <f t="shared" si="58"/>
        <v>24254.559415572141</v>
      </c>
      <c r="AL47" s="92">
        <f>Tableau4[[#This Row],[KUVC Miel Conso]]*BC$94</f>
        <v>17.581962577009936</v>
      </c>
      <c r="AM47" s="92">
        <f>Tableau4[[#This Row],[KUVC ind. Lait.  Conso]]*BD$94</f>
        <v>2706.5585927104225</v>
      </c>
      <c r="AN47" s="92">
        <f>Tableau4[[#This Row],[KUVC fermiers   Conso]]*BE$94</f>
        <v>173.64173699799366</v>
      </c>
      <c r="AO47" s="92">
        <f>Tableau4[[#This Row],[KUVC rest. à emporter  Conso]]*BF$94</f>
        <v>751.7078736612292</v>
      </c>
      <c r="AP47" s="92">
        <f>Tableau4[[#This Row],[KUVC portage domicile  Conso]]*BG$94</f>
        <v>178.48817045403138</v>
      </c>
      <c r="AQ47" s="92">
        <f>Tableau4[[#This Row],[KUVC bière  Conso]]*BH$94</f>
        <v>1951.9566616108991</v>
      </c>
      <c r="AR47" s="92">
        <f>Tableau4[[#This Row],[KUVC cidricole  Conso]]*BI$94</f>
        <v>31.920232466342938</v>
      </c>
      <c r="AS47">
        <f t="shared" si="59"/>
        <v>5811.8552304779287</v>
      </c>
      <c r="AT47">
        <f t="shared" si="60"/>
        <v>10.824736522515522</v>
      </c>
      <c r="AU47">
        <f t="shared" si="61"/>
        <v>2706.5585927104225</v>
      </c>
      <c r="AV47">
        <f t="shared" si="62"/>
        <v>173.64173699799366</v>
      </c>
      <c r="AW47">
        <f t="shared" si="63"/>
        <v>751.7078736612292</v>
      </c>
      <c r="AX47">
        <f t="shared" si="64"/>
        <v>178.48817045403138</v>
      </c>
      <c r="AY47">
        <f t="shared" si="65"/>
        <v>41.208333331250003</v>
      </c>
      <c r="AZ47">
        <f t="shared" si="66"/>
        <v>31.920232466342938</v>
      </c>
      <c r="BA47">
        <f t="shared" si="67"/>
        <v>3894.349676143785</v>
      </c>
      <c r="BB47">
        <f t="shared" si="68"/>
        <v>30.927818635758637</v>
      </c>
      <c r="BC47">
        <f t="shared" si="69"/>
        <v>13532.792963552112</v>
      </c>
      <c r="BD47">
        <f t="shared" si="70"/>
        <v>496.11924856569624</v>
      </c>
      <c r="BE47">
        <f t="shared" si="71"/>
        <v>7517.0787366122913</v>
      </c>
      <c r="BF47">
        <f t="shared" si="72"/>
        <v>178.48817045403138</v>
      </c>
      <c r="BG47">
        <f t="shared" si="73"/>
        <v>51.510416664062497</v>
      </c>
      <c r="BH47">
        <f t="shared" si="74"/>
        <v>39.900290582928669</v>
      </c>
      <c r="BI47">
        <f t="shared" si="75"/>
        <v>21846.817645066883</v>
      </c>
    </row>
    <row r="48" spans="1:61">
      <c r="A48">
        <v>29</v>
      </c>
      <c r="B48">
        <v>2</v>
      </c>
      <c r="C48">
        <v>61</v>
      </c>
      <c r="D48" t="s">
        <v>58</v>
      </c>
      <c r="E48" t="s">
        <v>59</v>
      </c>
      <c r="F48">
        <v>30.927818635758637</v>
      </c>
      <c r="G48">
        <v>85072.681704260642</v>
      </c>
      <c r="H48">
        <v>422.36899761175567</v>
      </c>
      <c r="I48">
        <v>3865.3416249756774</v>
      </c>
      <c r="J48">
        <v>110.03513427929489</v>
      </c>
      <c r="K48">
        <v>51.510416664062497</v>
      </c>
      <c r="L48">
        <v>2134.2215088282505</v>
      </c>
      <c r="M48">
        <f t="shared" si="41"/>
        <v>91687.087205255448</v>
      </c>
      <c r="N48">
        <f t="shared" si="42"/>
        <v>10.824736522515522</v>
      </c>
      <c r="O48">
        <f t="shared" si="43"/>
        <v>17014.53634085213</v>
      </c>
      <c r="P48">
        <f t="shared" si="44"/>
        <v>147.82914916411448</v>
      </c>
      <c r="Q48">
        <f t="shared" si="45"/>
        <v>386.53416249756776</v>
      </c>
      <c r="R48">
        <f t="shared" si="46"/>
        <v>110.03513427929489</v>
      </c>
      <c r="S48">
        <f t="shared" si="47"/>
        <v>41.208333331250003</v>
      </c>
      <c r="T48">
        <f t="shared" si="48"/>
        <v>1707.3772070626005</v>
      </c>
      <c r="U48">
        <f t="shared" si="49"/>
        <v>19418.345063709472</v>
      </c>
      <c r="V48">
        <f t="shared" si="50"/>
        <v>3.0927818635758637</v>
      </c>
      <c r="W48">
        <f t="shared" si="51"/>
        <v>8507.2681704260649</v>
      </c>
      <c r="X48">
        <f t="shared" si="52"/>
        <v>42.236899761175572</v>
      </c>
      <c r="Y48">
        <f t="shared" si="53"/>
        <v>386.53416249756776</v>
      </c>
      <c r="Z48">
        <f t="shared" si="54"/>
        <v>110.03513427929489</v>
      </c>
      <c r="AA48">
        <f t="shared" si="55"/>
        <v>5.1510416664062504</v>
      </c>
      <c r="AB48">
        <f t="shared" si="56"/>
        <v>213.42215088282506</v>
      </c>
      <c r="AC48">
        <f t="shared" si="57"/>
        <v>9267.7403413769098</v>
      </c>
      <c r="AD48" s="92">
        <v>31.532171120632121</v>
      </c>
      <c r="AE48" s="92">
        <v>8494.5818510997742</v>
      </c>
      <c r="AF48" s="92">
        <v>311.41580132038297</v>
      </c>
      <c r="AG48">
        <f>Tableau4[[#This Row],[KUVC rest. à emporter / traiteur]]</f>
        <v>3865.3416249756774</v>
      </c>
      <c r="AH48">
        <v>110.03513427929489</v>
      </c>
      <c r="AI48">
        <v>1531.5625972878456</v>
      </c>
      <c r="AJ48">
        <v>25.045553061530654</v>
      </c>
      <c r="AK48">
        <f t="shared" si="58"/>
        <v>14369.514733145139</v>
      </c>
      <c r="AL48" s="92">
        <f>Tableau4[[#This Row],[KUVC Miel Conso]]*BC$94</f>
        <v>11.036259892221242</v>
      </c>
      <c r="AM48" s="92">
        <f>Tableau4[[#This Row],[KUVC ind. Lait.  Conso]]*BD$94</f>
        <v>1698.9163702199548</v>
      </c>
      <c r="AN48" s="92">
        <f>Tableau4[[#This Row],[KUVC fermiers   Conso]]*BE$94</f>
        <v>108.99553046213403</v>
      </c>
      <c r="AO48" s="92">
        <f>Tableau4[[#This Row],[KUVC rest. à emporter  Conso]]*BF$94</f>
        <v>386.53416249756776</v>
      </c>
      <c r="AP48" s="92">
        <f>Tableau4[[#This Row],[KUVC portage domicile  Conso]]*BG$94</f>
        <v>110.03513427929489</v>
      </c>
      <c r="AQ48" s="92">
        <f>Tableau4[[#This Row],[KUVC bière  Conso]]*BH$94</f>
        <v>1225.2500778302765</v>
      </c>
      <c r="AR48" s="92">
        <f>Tableau4[[#This Row],[KUVC cidricole  Conso]]*BI$94</f>
        <v>20.036442449224523</v>
      </c>
      <c r="AS48">
        <f t="shared" si="59"/>
        <v>3560.8039776306741</v>
      </c>
      <c r="AT48">
        <f t="shared" si="60"/>
        <v>10.824736522515522</v>
      </c>
      <c r="AU48">
        <f t="shared" si="61"/>
        <v>1698.9163702199548</v>
      </c>
      <c r="AV48">
        <f t="shared" si="62"/>
        <v>108.99553046213403</v>
      </c>
      <c r="AW48">
        <f t="shared" si="63"/>
        <v>386.53416249756776</v>
      </c>
      <c r="AX48">
        <f t="shared" si="64"/>
        <v>110.03513427929489</v>
      </c>
      <c r="AY48">
        <f t="shared" si="65"/>
        <v>41.208333331250003</v>
      </c>
      <c r="AZ48">
        <f t="shared" si="66"/>
        <v>20.036442449224523</v>
      </c>
      <c r="BA48">
        <f t="shared" si="67"/>
        <v>2376.5507097619416</v>
      </c>
      <c r="BB48">
        <f t="shared" si="68"/>
        <v>30.927818635758637</v>
      </c>
      <c r="BC48">
        <f t="shared" si="69"/>
        <v>8494.5818510997742</v>
      </c>
      <c r="BD48">
        <f t="shared" si="70"/>
        <v>311.41580132038297</v>
      </c>
      <c r="BE48">
        <f t="shared" si="71"/>
        <v>3865.3416249756774</v>
      </c>
      <c r="BF48">
        <f t="shared" si="72"/>
        <v>110.03513427929489</v>
      </c>
      <c r="BG48">
        <f t="shared" si="73"/>
        <v>51.510416664062497</v>
      </c>
      <c r="BH48">
        <f t="shared" si="74"/>
        <v>25.045553061530654</v>
      </c>
      <c r="BI48">
        <f t="shared" si="75"/>
        <v>12888.858200036482</v>
      </c>
    </row>
    <row r="49" spans="1:61">
      <c r="A49">
        <v>49</v>
      </c>
      <c r="B49">
        <v>2</v>
      </c>
      <c r="C49">
        <v>61</v>
      </c>
      <c r="D49" t="s">
        <v>98</v>
      </c>
      <c r="E49" t="s">
        <v>99</v>
      </c>
      <c r="F49">
        <v>30.927818635758637</v>
      </c>
      <c r="G49">
        <v>85072.681704260642</v>
      </c>
      <c r="H49">
        <v>389.6902603202646</v>
      </c>
      <c r="I49">
        <v>1798.1972609167356</v>
      </c>
      <c r="J49">
        <v>62.400289518524659</v>
      </c>
      <c r="K49">
        <v>51.510416664062497</v>
      </c>
      <c r="L49">
        <v>2134.2215088282505</v>
      </c>
      <c r="M49">
        <f t="shared" si="41"/>
        <v>89539.629259144247</v>
      </c>
      <c r="N49">
        <f t="shared" si="42"/>
        <v>10.824736522515522</v>
      </c>
      <c r="O49">
        <f t="shared" si="43"/>
        <v>17014.53634085213</v>
      </c>
      <c r="P49">
        <f t="shared" si="44"/>
        <v>136.39159111209261</v>
      </c>
      <c r="Q49">
        <f t="shared" si="45"/>
        <v>179.81972609167357</v>
      </c>
      <c r="R49">
        <f t="shared" si="46"/>
        <v>62.400289518524659</v>
      </c>
      <c r="S49">
        <f t="shared" si="47"/>
        <v>41.208333331250003</v>
      </c>
      <c r="T49">
        <f t="shared" si="48"/>
        <v>1707.3772070626005</v>
      </c>
      <c r="U49">
        <f t="shared" si="49"/>
        <v>19152.558224490789</v>
      </c>
      <c r="V49">
        <f t="shared" si="50"/>
        <v>3.0927818635758637</v>
      </c>
      <c r="W49">
        <f t="shared" si="51"/>
        <v>8507.2681704260649</v>
      </c>
      <c r="X49">
        <f t="shared" si="52"/>
        <v>38.969026032026463</v>
      </c>
      <c r="Y49">
        <f t="shared" si="53"/>
        <v>179.81972609167357</v>
      </c>
      <c r="Z49">
        <f t="shared" si="54"/>
        <v>62.400289518524659</v>
      </c>
      <c r="AA49">
        <f t="shared" si="55"/>
        <v>5.1510416664062504</v>
      </c>
      <c r="AB49">
        <f t="shared" si="56"/>
        <v>213.42215088282506</v>
      </c>
      <c r="AC49">
        <f t="shared" si="57"/>
        <v>9010.1231864810943</v>
      </c>
      <c r="AD49" s="92">
        <v>18.541692539660666</v>
      </c>
      <c r="AE49" s="92">
        <v>4995.0231569375073</v>
      </c>
      <c r="AF49" s="92">
        <v>183.12015426988583</v>
      </c>
      <c r="AG49">
        <f>Tableau4[[#This Row],[KUVC rest. à emporter / traiteur]]</f>
        <v>1798.1972609167356</v>
      </c>
      <c r="AH49">
        <v>62.400289518524659</v>
      </c>
      <c r="AI49">
        <v>900.59649478351798</v>
      </c>
      <c r="AJ49">
        <v>14.727401502930469</v>
      </c>
      <c r="AK49">
        <f t="shared" si="58"/>
        <v>7972.6064504687629</v>
      </c>
      <c r="AL49" s="92">
        <f>Tableau4[[#This Row],[KUVC Miel Conso]]*BC$94</f>
        <v>6.489592388881233</v>
      </c>
      <c r="AM49" s="92">
        <f>Tableau4[[#This Row],[KUVC ind. Lait.  Conso]]*BD$94</f>
        <v>999.00463138750149</v>
      </c>
      <c r="AN49" s="92">
        <f>Tableau4[[#This Row],[KUVC fermiers   Conso]]*BE$94</f>
        <v>64.092053994460031</v>
      </c>
      <c r="AO49" s="92">
        <f>Tableau4[[#This Row],[KUVC rest. à emporter  Conso]]*BF$94</f>
        <v>179.81972609167357</v>
      </c>
      <c r="AP49" s="92">
        <f>Tableau4[[#This Row],[KUVC portage domicile  Conso]]*BG$94</f>
        <v>62.400289518524659</v>
      </c>
      <c r="AQ49" s="92">
        <f>Tableau4[[#This Row],[KUVC bière  Conso]]*BH$94</f>
        <v>720.47719582681441</v>
      </c>
      <c r="AR49" s="92">
        <f>Tableau4[[#This Row],[KUVC cidricole  Conso]]*BI$94</f>
        <v>11.781921202344376</v>
      </c>
      <c r="AS49">
        <f t="shared" si="59"/>
        <v>2044.0654104101998</v>
      </c>
      <c r="AT49">
        <f t="shared" si="60"/>
        <v>6.489592388881233</v>
      </c>
      <c r="AU49">
        <f t="shared" si="61"/>
        <v>999.00463138750149</v>
      </c>
      <c r="AV49">
        <f t="shared" si="62"/>
        <v>64.092053994460031</v>
      </c>
      <c r="AW49">
        <f t="shared" si="63"/>
        <v>179.81972609167357</v>
      </c>
      <c r="AX49">
        <f t="shared" si="64"/>
        <v>62.400289518524659</v>
      </c>
      <c r="AY49">
        <f t="shared" si="65"/>
        <v>41.208333331250003</v>
      </c>
      <c r="AZ49">
        <f t="shared" si="66"/>
        <v>11.781921202344376</v>
      </c>
      <c r="BA49">
        <f t="shared" si="67"/>
        <v>1364.7965479146355</v>
      </c>
      <c r="BB49">
        <f t="shared" si="68"/>
        <v>18.541692539660666</v>
      </c>
      <c r="BC49">
        <f t="shared" si="69"/>
        <v>4995.0231569375073</v>
      </c>
      <c r="BD49">
        <f t="shared" si="70"/>
        <v>183.12015426988583</v>
      </c>
      <c r="BE49">
        <f t="shared" si="71"/>
        <v>1798.1972609167356</v>
      </c>
      <c r="BF49">
        <f t="shared" si="72"/>
        <v>62.400289518524659</v>
      </c>
      <c r="BG49">
        <f t="shared" si="73"/>
        <v>51.510416664062497</v>
      </c>
      <c r="BH49">
        <f t="shared" si="74"/>
        <v>14.727401502930469</v>
      </c>
      <c r="BI49">
        <f t="shared" si="75"/>
        <v>7123.5203723493069</v>
      </c>
    </row>
    <row r="50" spans="1:61">
      <c r="A50">
        <v>63</v>
      </c>
      <c r="B50">
        <v>2</v>
      </c>
      <c r="C50">
        <v>61</v>
      </c>
      <c r="D50" t="s">
        <v>126</v>
      </c>
      <c r="E50" t="s">
        <v>127</v>
      </c>
      <c r="F50">
        <v>30.927818635758637</v>
      </c>
      <c r="G50">
        <v>85072.681704260642</v>
      </c>
      <c r="H50">
        <v>341.09737832714404</v>
      </c>
      <c r="I50">
        <v>577.8931354077547</v>
      </c>
      <c r="J50">
        <v>16.502555905725529</v>
      </c>
      <c r="K50">
        <v>51.510416664062497</v>
      </c>
      <c r="L50">
        <v>2134.2215088282505</v>
      </c>
      <c r="M50">
        <f t="shared" si="41"/>
        <v>88224.83451802934</v>
      </c>
      <c r="N50">
        <f t="shared" si="42"/>
        <v>10.824736522515522</v>
      </c>
      <c r="O50">
        <f t="shared" si="43"/>
        <v>17014.53634085213</v>
      </c>
      <c r="P50">
        <f t="shared" si="44"/>
        <v>119.38408241450041</v>
      </c>
      <c r="Q50">
        <f t="shared" si="45"/>
        <v>57.789313540775474</v>
      </c>
      <c r="R50">
        <f t="shared" si="46"/>
        <v>16.502555905725529</v>
      </c>
      <c r="S50">
        <f t="shared" si="47"/>
        <v>41.208333331250003</v>
      </c>
      <c r="T50">
        <f t="shared" si="48"/>
        <v>1707.3772070626005</v>
      </c>
      <c r="U50">
        <f t="shared" si="49"/>
        <v>18967.622569629497</v>
      </c>
      <c r="V50">
        <f t="shared" si="50"/>
        <v>3.0927818635758637</v>
      </c>
      <c r="W50">
        <f t="shared" si="51"/>
        <v>8507.2681704260649</v>
      </c>
      <c r="X50">
        <f t="shared" si="52"/>
        <v>34.109737832714409</v>
      </c>
      <c r="Y50">
        <f t="shared" si="53"/>
        <v>57.789313540775474</v>
      </c>
      <c r="Z50">
        <f t="shared" si="54"/>
        <v>16.502555905725529</v>
      </c>
      <c r="AA50">
        <f t="shared" si="55"/>
        <v>5.1510416664062504</v>
      </c>
      <c r="AB50">
        <f t="shared" si="56"/>
        <v>213.42215088282506</v>
      </c>
      <c r="AC50">
        <f t="shared" si="57"/>
        <v>8837.335752118086</v>
      </c>
      <c r="AD50" s="92">
        <v>5.9893623364579085</v>
      </c>
      <c r="AE50" s="92">
        <v>1613.4990644410773</v>
      </c>
      <c r="AF50" s="92">
        <v>59.151717281710908</v>
      </c>
      <c r="AG50">
        <f>Tableau4[[#This Row],[KUVC rest. à emporter / traiteur]]</f>
        <v>577.8931354077547</v>
      </c>
      <c r="AH50">
        <v>16.502555905725529</v>
      </c>
      <c r="AI50">
        <v>290.91188491366984</v>
      </c>
      <c r="AJ50">
        <v>4.7572649415294235</v>
      </c>
      <c r="AK50">
        <f t="shared" si="58"/>
        <v>2568.7049852279251</v>
      </c>
      <c r="AL50" s="92">
        <f>Tableau4[[#This Row],[KUVC Miel Conso]]*BC$94</f>
        <v>2.096276817760268</v>
      </c>
      <c r="AM50" s="92">
        <f>Tableau4[[#This Row],[KUVC ind. Lait.  Conso]]*BD$94</f>
        <v>322.69981288821549</v>
      </c>
      <c r="AN50" s="92">
        <f>Tableau4[[#This Row],[KUVC fermiers   Conso]]*BE$94</f>
        <v>20.703101048598818</v>
      </c>
      <c r="AO50" s="92">
        <f>Tableau4[[#This Row],[KUVC rest. à emporter  Conso]]*BF$94</f>
        <v>57.789313540775474</v>
      </c>
      <c r="AP50" s="92">
        <f>Tableau4[[#This Row],[KUVC portage domicile  Conso]]*BG$94</f>
        <v>16.502555905725529</v>
      </c>
      <c r="AQ50" s="92">
        <f>Tableau4[[#This Row],[KUVC bière  Conso]]*BH$94</f>
        <v>232.72950793093588</v>
      </c>
      <c r="AR50" s="92">
        <f>Tableau4[[#This Row],[KUVC cidricole  Conso]]*BI$94</f>
        <v>3.805811953223539</v>
      </c>
      <c r="AS50">
        <f t="shared" si="59"/>
        <v>656.32638008523497</v>
      </c>
      <c r="AT50">
        <f t="shared" si="60"/>
        <v>2.096276817760268</v>
      </c>
      <c r="AU50">
        <f t="shared" si="61"/>
        <v>322.69981288821549</v>
      </c>
      <c r="AV50">
        <f t="shared" si="62"/>
        <v>20.703101048598818</v>
      </c>
      <c r="AW50">
        <f t="shared" si="63"/>
        <v>57.789313540775474</v>
      </c>
      <c r="AX50">
        <f t="shared" si="64"/>
        <v>16.502555905725529</v>
      </c>
      <c r="AY50">
        <f t="shared" si="65"/>
        <v>41.208333331250003</v>
      </c>
      <c r="AZ50">
        <f t="shared" si="66"/>
        <v>3.805811953223539</v>
      </c>
      <c r="BA50">
        <f t="shared" si="67"/>
        <v>464.8052054855491</v>
      </c>
      <c r="BB50">
        <f t="shared" si="68"/>
        <v>5.9893623364579085</v>
      </c>
      <c r="BC50">
        <f t="shared" si="69"/>
        <v>1613.4990644410773</v>
      </c>
      <c r="BD50">
        <f t="shared" si="70"/>
        <v>59.151717281710908</v>
      </c>
      <c r="BE50">
        <f t="shared" si="71"/>
        <v>577.8931354077547</v>
      </c>
      <c r="BF50">
        <f t="shared" si="72"/>
        <v>16.502555905725529</v>
      </c>
      <c r="BG50">
        <f t="shared" si="73"/>
        <v>51.510416664062497</v>
      </c>
      <c r="BH50">
        <f t="shared" si="74"/>
        <v>4.7572649415294235</v>
      </c>
      <c r="BI50">
        <f t="shared" si="75"/>
        <v>2329.3035169783179</v>
      </c>
    </row>
    <row r="51" spans="1:61">
      <c r="A51">
        <v>6</v>
      </c>
      <c r="B51">
        <v>3</v>
      </c>
      <c r="C51">
        <v>61</v>
      </c>
      <c r="D51" t="s">
        <v>12</v>
      </c>
      <c r="E51" t="s">
        <v>13</v>
      </c>
      <c r="F51">
        <v>15.022083337368484</v>
      </c>
      <c r="G51">
        <v>6076.6201217329026</v>
      </c>
      <c r="H51">
        <v>630.23244228346425</v>
      </c>
      <c r="I51">
        <v>1469.725301203599</v>
      </c>
      <c r="J51">
        <v>52.439042779377836</v>
      </c>
      <c r="K51">
        <v>41.208333331249996</v>
      </c>
      <c r="L51">
        <v>1835.7514331575328</v>
      </c>
      <c r="M51">
        <f t="shared" si="41"/>
        <v>10120.998757825495</v>
      </c>
      <c r="N51">
        <f t="shared" si="42"/>
        <v>5.2577291680789688</v>
      </c>
      <c r="O51">
        <f t="shared" si="43"/>
        <v>1215.3240243465805</v>
      </c>
      <c r="P51">
        <f t="shared" si="44"/>
        <v>220.58135479921248</v>
      </c>
      <c r="Q51">
        <f t="shared" si="45"/>
        <v>146.97253012035989</v>
      </c>
      <c r="R51">
        <f t="shared" si="46"/>
        <v>52.439042779377836</v>
      </c>
      <c r="S51">
        <f t="shared" si="47"/>
        <v>32.966666664999998</v>
      </c>
      <c r="T51">
        <f t="shared" si="48"/>
        <v>1468.6011465260262</v>
      </c>
      <c r="U51">
        <f t="shared" si="49"/>
        <v>3142.1424944046357</v>
      </c>
      <c r="V51">
        <f t="shared" si="50"/>
        <v>1.5022083337368484</v>
      </c>
      <c r="W51">
        <f t="shared" si="51"/>
        <v>607.66201217329024</v>
      </c>
      <c r="X51">
        <f t="shared" si="52"/>
        <v>63.023244228346428</v>
      </c>
      <c r="Y51">
        <f t="shared" si="53"/>
        <v>146.97253012035989</v>
      </c>
      <c r="Z51">
        <f t="shared" si="54"/>
        <v>52.439042779377836</v>
      </c>
      <c r="AA51">
        <f t="shared" si="55"/>
        <v>4.1208333331249998</v>
      </c>
      <c r="AB51">
        <f t="shared" si="56"/>
        <v>183.57514331575328</v>
      </c>
      <c r="AC51">
        <f t="shared" si="57"/>
        <v>1059.2950142839895</v>
      </c>
      <c r="AD51" s="92">
        <v>12.015296362314986</v>
      </c>
      <c r="AE51" s="92">
        <v>3236.8503273827196</v>
      </c>
      <c r="AF51" s="92">
        <v>118.6646212992261</v>
      </c>
      <c r="AG51">
        <f>Tableau4[[#This Row],[KUVC rest. à emporter / traiteur]]</f>
        <v>1469.725301203599</v>
      </c>
      <c r="AH51">
        <v>52.439042779377836</v>
      </c>
      <c r="AI51">
        <v>583.60010902672786</v>
      </c>
      <c r="AJ51">
        <v>9.5435782534959035</v>
      </c>
      <c r="AK51">
        <f t="shared" si="58"/>
        <v>5482.8382763074615</v>
      </c>
      <c r="AL51" s="92">
        <f>Tableau4[[#This Row],[KUVC Miel Conso]]*BC$94</f>
        <v>4.2053537268102446</v>
      </c>
      <c r="AM51" s="92">
        <f>Tableau4[[#This Row],[KUVC ind. Lait.  Conso]]*BD$94</f>
        <v>647.37006547654391</v>
      </c>
      <c r="AN51" s="92">
        <f>Tableau4[[#This Row],[KUVC fermiers   Conso]]*BE$94</f>
        <v>41.532617454729134</v>
      </c>
      <c r="AO51" s="92">
        <f>Tableau4[[#This Row],[KUVC rest. à emporter  Conso]]*BF$94</f>
        <v>146.97253012035989</v>
      </c>
      <c r="AP51" s="92">
        <f>Tableau4[[#This Row],[KUVC portage domicile  Conso]]*BG$94</f>
        <v>52.439042779377836</v>
      </c>
      <c r="AQ51" s="92">
        <f>Tableau4[[#This Row],[KUVC bière  Conso]]*BH$94</f>
        <v>466.88008722138233</v>
      </c>
      <c r="AR51" s="92">
        <f>Tableau4[[#This Row],[KUVC cidricole  Conso]]*BI$94</f>
        <v>7.6348626027967228</v>
      </c>
      <c r="AS51">
        <f t="shared" si="59"/>
        <v>1367.0345593820002</v>
      </c>
      <c r="AT51">
        <f t="shared" si="60"/>
        <v>4.2053537268102446</v>
      </c>
      <c r="AU51">
        <f t="shared" si="61"/>
        <v>647.37006547654391</v>
      </c>
      <c r="AV51">
        <f t="shared" si="62"/>
        <v>41.532617454729134</v>
      </c>
      <c r="AW51">
        <f t="shared" si="63"/>
        <v>146.97253012035989</v>
      </c>
      <c r="AX51">
        <f t="shared" si="64"/>
        <v>52.439042779377836</v>
      </c>
      <c r="AY51">
        <f t="shared" si="65"/>
        <v>32.966666664999998</v>
      </c>
      <c r="AZ51">
        <f t="shared" si="66"/>
        <v>7.6348626027967228</v>
      </c>
      <c r="BA51">
        <f t="shared" si="67"/>
        <v>933.12113882561778</v>
      </c>
      <c r="BB51">
        <f t="shared" si="68"/>
        <v>12.015296362314986</v>
      </c>
      <c r="BC51">
        <f t="shared" si="69"/>
        <v>3236.8503273827196</v>
      </c>
      <c r="BD51">
        <f t="shared" si="70"/>
        <v>118.6646212992261</v>
      </c>
      <c r="BE51">
        <f t="shared" si="71"/>
        <v>1469.725301203599</v>
      </c>
      <c r="BF51">
        <f t="shared" si="72"/>
        <v>52.439042779377836</v>
      </c>
      <c r="BG51">
        <f t="shared" si="73"/>
        <v>41.208333331249996</v>
      </c>
      <c r="BH51">
        <f t="shared" si="74"/>
        <v>9.5435782534959035</v>
      </c>
      <c r="BI51">
        <f t="shared" si="75"/>
        <v>4940.4465006119835</v>
      </c>
    </row>
    <row r="52" spans="1:61">
      <c r="A52">
        <v>27</v>
      </c>
      <c r="B52">
        <v>3</v>
      </c>
      <c r="C52">
        <v>61</v>
      </c>
      <c r="D52" t="s">
        <v>54</v>
      </c>
      <c r="E52" t="s">
        <v>55</v>
      </c>
      <c r="F52">
        <v>15.022083337368484</v>
      </c>
      <c r="G52">
        <v>6076.6201217329026</v>
      </c>
      <c r="H52">
        <v>361.67732767663119</v>
      </c>
      <c r="I52">
        <v>1182.9765670527111</v>
      </c>
      <c r="J52">
        <v>33.249393066634497</v>
      </c>
      <c r="K52">
        <v>41.208333331249996</v>
      </c>
      <c r="L52">
        <v>1835.7514331575328</v>
      </c>
      <c r="M52">
        <f t="shared" si="41"/>
        <v>9546.5052593550299</v>
      </c>
      <c r="N52">
        <f t="shared" si="42"/>
        <v>5.2577291680789688</v>
      </c>
      <c r="O52">
        <f t="shared" si="43"/>
        <v>1215.3240243465805</v>
      </c>
      <c r="P52">
        <f t="shared" si="44"/>
        <v>126.58706468682091</v>
      </c>
      <c r="Q52">
        <f t="shared" si="45"/>
        <v>118.29765670527111</v>
      </c>
      <c r="R52">
        <f t="shared" si="46"/>
        <v>33.249393066634497</v>
      </c>
      <c r="S52">
        <f t="shared" si="47"/>
        <v>32.966666664999998</v>
      </c>
      <c r="T52">
        <f t="shared" si="48"/>
        <v>1468.6011465260262</v>
      </c>
      <c r="U52">
        <f t="shared" si="49"/>
        <v>3000.283681164412</v>
      </c>
      <c r="V52">
        <f t="shared" si="50"/>
        <v>1.5022083337368484</v>
      </c>
      <c r="W52">
        <f t="shared" si="51"/>
        <v>607.66201217329024</v>
      </c>
      <c r="X52">
        <f t="shared" si="52"/>
        <v>36.167732767663118</v>
      </c>
      <c r="Y52">
        <f t="shared" si="53"/>
        <v>118.29765670527111</v>
      </c>
      <c r="Z52">
        <f t="shared" si="54"/>
        <v>33.249393066634497</v>
      </c>
      <c r="AA52">
        <f t="shared" si="55"/>
        <v>4.1208333331249998</v>
      </c>
      <c r="AB52">
        <f t="shared" si="56"/>
        <v>183.57514331575328</v>
      </c>
      <c r="AC52">
        <f t="shared" si="57"/>
        <v>984.5749796954741</v>
      </c>
      <c r="AD52" s="92">
        <v>9.9187270894822053</v>
      </c>
      <c r="AE52" s="92">
        <v>2672.046869148101</v>
      </c>
      <c r="AF52" s="92">
        <v>97.958631926496068</v>
      </c>
      <c r="AG52">
        <f>Tableau4[[#This Row],[KUVC rest. à emporter / traiteur]]</f>
        <v>1182.9765670527111</v>
      </c>
      <c r="AH52">
        <v>33.249393066634497</v>
      </c>
      <c r="AI52">
        <v>481.76674434627853</v>
      </c>
      <c r="AJ52">
        <v>7.8783032310744368</v>
      </c>
      <c r="AK52">
        <f t="shared" si="58"/>
        <v>4485.7952358607781</v>
      </c>
      <c r="AL52" s="92">
        <f>Tableau4[[#This Row],[KUVC Miel Conso]]*BC$94</f>
        <v>3.4715544813187718</v>
      </c>
      <c r="AM52" s="92">
        <f>Tableau4[[#This Row],[KUVC ind. Lait.  Conso]]*BD$94</f>
        <v>534.40937382962022</v>
      </c>
      <c r="AN52" s="92">
        <f>Tableau4[[#This Row],[KUVC fermiers   Conso]]*BE$94</f>
        <v>34.285521174273619</v>
      </c>
      <c r="AO52" s="92">
        <f>Tableau4[[#This Row],[KUVC rest. à emporter  Conso]]*BF$94</f>
        <v>118.29765670527111</v>
      </c>
      <c r="AP52" s="92">
        <f>Tableau4[[#This Row],[KUVC portage domicile  Conso]]*BG$94</f>
        <v>33.249393066634497</v>
      </c>
      <c r="AQ52" s="92">
        <f>Tableau4[[#This Row],[KUVC bière  Conso]]*BH$94</f>
        <v>385.41339547702285</v>
      </c>
      <c r="AR52" s="92">
        <f>Tableau4[[#This Row],[KUVC cidricole  Conso]]*BI$94</f>
        <v>6.3026425848595498</v>
      </c>
      <c r="AS52">
        <f t="shared" si="59"/>
        <v>1115.4295373190007</v>
      </c>
      <c r="AT52">
        <f t="shared" si="60"/>
        <v>3.4715544813187718</v>
      </c>
      <c r="AU52">
        <f t="shared" si="61"/>
        <v>534.40937382962022</v>
      </c>
      <c r="AV52">
        <f t="shared" si="62"/>
        <v>34.285521174273619</v>
      </c>
      <c r="AW52">
        <f t="shared" si="63"/>
        <v>118.29765670527111</v>
      </c>
      <c r="AX52">
        <f t="shared" si="64"/>
        <v>33.249393066634497</v>
      </c>
      <c r="AY52">
        <f t="shared" si="65"/>
        <v>32.966666664999998</v>
      </c>
      <c r="AZ52">
        <f t="shared" si="66"/>
        <v>6.3026425848595498</v>
      </c>
      <c r="BA52">
        <f t="shared" si="67"/>
        <v>762.9828085069779</v>
      </c>
      <c r="BB52">
        <f t="shared" si="68"/>
        <v>9.9187270894822053</v>
      </c>
      <c r="BC52">
        <f t="shared" si="69"/>
        <v>2672.046869148101</v>
      </c>
      <c r="BD52">
        <f t="shared" si="70"/>
        <v>97.958631926496068</v>
      </c>
      <c r="BE52">
        <f t="shared" si="71"/>
        <v>1182.9765670527111</v>
      </c>
      <c r="BF52">
        <f t="shared" si="72"/>
        <v>33.249393066634497</v>
      </c>
      <c r="BG52">
        <f t="shared" si="73"/>
        <v>41.208333331249996</v>
      </c>
      <c r="BH52">
        <f t="shared" si="74"/>
        <v>7.8783032310744368</v>
      </c>
      <c r="BI52">
        <f t="shared" si="75"/>
        <v>4045.2368248457492</v>
      </c>
    </row>
    <row r="53" spans="1:61">
      <c r="A53">
        <v>30</v>
      </c>
      <c r="B53">
        <v>3</v>
      </c>
      <c r="C53">
        <v>61</v>
      </c>
      <c r="D53" t="s">
        <v>60</v>
      </c>
      <c r="E53" t="s">
        <v>61</v>
      </c>
      <c r="F53">
        <v>15.022083337368484</v>
      </c>
      <c r="G53">
        <v>6076.6201217329026</v>
      </c>
      <c r="H53">
        <v>589.9673902198025</v>
      </c>
      <c r="I53">
        <v>2941.0711154648479</v>
      </c>
      <c r="J53">
        <v>81.969932294886689</v>
      </c>
      <c r="K53">
        <v>41.208333331249996</v>
      </c>
      <c r="L53">
        <v>1835.7514331575328</v>
      </c>
      <c r="M53">
        <f t="shared" si="41"/>
        <v>11581.610409538591</v>
      </c>
      <c r="N53">
        <f t="shared" si="42"/>
        <v>5.2577291680789688</v>
      </c>
      <c r="O53">
        <f t="shared" si="43"/>
        <v>1215.3240243465805</v>
      </c>
      <c r="P53">
        <f t="shared" si="44"/>
        <v>206.48858657693086</v>
      </c>
      <c r="Q53">
        <f t="shared" si="45"/>
        <v>294.10711154648482</v>
      </c>
      <c r="R53">
        <f t="shared" si="46"/>
        <v>81.969932294886689</v>
      </c>
      <c r="S53">
        <f t="shared" si="47"/>
        <v>32.966666664999998</v>
      </c>
      <c r="T53">
        <f t="shared" si="48"/>
        <v>1468.6011465260262</v>
      </c>
      <c r="U53">
        <f t="shared" si="49"/>
        <v>3304.7151971239882</v>
      </c>
      <c r="V53">
        <f t="shared" si="50"/>
        <v>1.5022083337368484</v>
      </c>
      <c r="W53">
        <f t="shared" si="51"/>
        <v>607.66201217329024</v>
      </c>
      <c r="X53">
        <f t="shared" si="52"/>
        <v>58.996739021980254</v>
      </c>
      <c r="Y53">
        <f t="shared" si="53"/>
        <v>294.10711154648482</v>
      </c>
      <c r="Z53">
        <f t="shared" si="54"/>
        <v>81.969932294886689</v>
      </c>
      <c r="AA53">
        <f t="shared" si="55"/>
        <v>4.1208333331249998</v>
      </c>
      <c r="AB53">
        <f t="shared" si="56"/>
        <v>183.57514331575328</v>
      </c>
      <c r="AC53">
        <f t="shared" si="57"/>
        <v>1231.933980019257</v>
      </c>
      <c r="AD53" s="92">
        <v>25.454631626276445</v>
      </c>
      <c r="AE53" s="92">
        <v>6857.3283777949873</v>
      </c>
      <c r="AF53" s="92">
        <v>251.39323501974994</v>
      </c>
      <c r="AG53">
        <f>Tableau4[[#This Row],[KUVC rest. à emporter / traiteur]]</f>
        <v>2941.0711154648479</v>
      </c>
      <c r="AH53">
        <v>81.969932294886689</v>
      </c>
      <c r="AI53">
        <v>1236.367821847713</v>
      </c>
      <c r="AJ53">
        <v>20.218250263156715</v>
      </c>
      <c r="AK53">
        <f t="shared" si="58"/>
        <v>11413.803364311618</v>
      </c>
      <c r="AL53" s="92">
        <f>Tableau4[[#This Row],[KUVC Miel Conso]]*BC$94</f>
        <v>8.9091210691967557</v>
      </c>
      <c r="AM53" s="92">
        <f>Tableau4[[#This Row],[KUVC ind. Lait.  Conso]]*BD$94</f>
        <v>1371.4656755589976</v>
      </c>
      <c r="AN53" s="92">
        <f>Tableau4[[#This Row],[KUVC fermiers   Conso]]*BE$94</f>
        <v>87.987632256912477</v>
      </c>
      <c r="AO53" s="92">
        <f>Tableau4[[#This Row],[KUVC rest. à emporter  Conso]]*BF$94</f>
        <v>294.10711154648482</v>
      </c>
      <c r="AP53" s="92">
        <f>Tableau4[[#This Row],[KUVC portage domicile  Conso]]*BG$94</f>
        <v>81.969932294886689</v>
      </c>
      <c r="AQ53" s="92">
        <f>Tableau4[[#This Row],[KUVC bière  Conso]]*BH$94</f>
        <v>989.09425747817045</v>
      </c>
      <c r="AR53" s="92">
        <f>Tableau4[[#This Row],[KUVC cidricole  Conso]]*BI$94</f>
        <v>16.174600210525373</v>
      </c>
      <c r="AS53">
        <f t="shared" si="59"/>
        <v>2849.7083304151747</v>
      </c>
      <c r="AT53">
        <f t="shared" si="60"/>
        <v>5.2577291680789688</v>
      </c>
      <c r="AU53">
        <f t="shared" si="61"/>
        <v>1215.3240243465805</v>
      </c>
      <c r="AV53">
        <f t="shared" si="62"/>
        <v>87.987632256912477</v>
      </c>
      <c r="AW53">
        <f t="shared" si="63"/>
        <v>294.10711154648482</v>
      </c>
      <c r="AX53">
        <f t="shared" si="64"/>
        <v>81.969932294886689</v>
      </c>
      <c r="AY53">
        <f t="shared" si="65"/>
        <v>32.966666664999998</v>
      </c>
      <c r="AZ53">
        <f t="shared" si="66"/>
        <v>16.174600210525373</v>
      </c>
      <c r="BA53">
        <f t="shared" si="67"/>
        <v>1733.7876964884688</v>
      </c>
      <c r="BB53">
        <f t="shared" si="68"/>
        <v>15.022083337368484</v>
      </c>
      <c r="BC53">
        <f t="shared" si="69"/>
        <v>6076.6201217329026</v>
      </c>
      <c r="BD53">
        <f t="shared" si="70"/>
        <v>251.39323501974994</v>
      </c>
      <c r="BE53">
        <f t="shared" si="71"/>
        <v>2941.0711154648479</v>
      </c>
      <c r="BF53">
        <f t="shared" si="72"/>
        <v>81.969932294886689</v>
      </c>
      <c r="BG53">
        <f t="shared" si="73"/>
        <v>41.208333331249996</v>
      </c>
      <c r="BH53">
        <f t="shared" si="74"/>
        <v>20.218250263156715</v>
      </c>
      <c r="BI53">
        <f t="shared" si="75"/>
        <v>9427.5030714441637</v>
      </c>
    </row>
    <row r="54" spans="1:61">
      <c r="A54">
        <v>33</v>
      </c>
      <c r="B54">
        <v>3</v>
      </c>
      <c r="C54">
        <v>61</v>
      </c>
      <c r="D54" t="s">
        <v>66</v>
      </c>
      <c r="E54" t="s">
        <v>67</v>
      </c>
      <c r="F54">
        <v>15.022083337368484</v>
      </c>
      <c r="G54">
        <v>6076.6201217329026</v>
      </c>
      <c r="H54">
        <v>359.24026897676936</v>
      </c>
      <c r="I54">
        <v>819.50681621181127</v>
      </c>
      <c r="J54">
        <v>31.050861769983563</v>
      </c>
      <c r="K54">
        <v>41.208333331249996</v>
      </c>
      <c r="L54">
        <v>1835.7514331575328</v>
      </c>
      <c r="M54">
        <f t="shared" si="41"/>
        <v>9178.3999185176181</v>
      </c>
      <c r="N54">
        <f t="shared" si="42"/>
        <v>5.2577291680789688</v>
      </c>
      <c r="O54">
        <f t="shared" si="43"/>
        <v>1215.3240243465805</v>
      </c>
      <c r="P54">
        <f t="shared" si="44"/>
        <v>125.73409414186926</v>
      </c>
      <c r="Q54">
        <f t="shared" si="45"/>
        <v>81.950681621181133</v>
      </c>
      <c r="R54">
        <f t="shared" si="46"/>
        <v>31.050861769983563</v>
      </c>
      <c r="S54">
        <f t="shared" si="47"/>
        <v>32.966666664999998</v>
      </c>
      <c r="T54">
        <f t="shared" si="48"/>
        <v>1468.6011465260262</v>
      </c>
      <c r="U54">
        <f t="shared" si="49"/>
        <v>2960.8852042387198</v>
      </c>
      <c r="V54">
        <f t="shared" si="50"/>
        <v>1.5022083337368484</v>
      </c>
      <c r="W54">
        <f t="shared" si="51"/>
        <v>607.66201217329024</v>
      </c>
      <c r="X54">
        <f t="shared" si="52"/>
        <v>35.924026897676939</v>
      </c>
      <c r="Y54">
        <f t="shared" si="53"/>
        <v>81.950681621181133</v>
      </c>
      <c r="Z54">
        <f t="shared" si="54"/>
        <v>31.050861769983563</v>
      </c>
      <c r="AA54">
        <f t="shared" si="55"/>
        <v>4.1208333331249998</v>
      </c>
      <c r="AB54">
        <f t="shared" si="56"/>
        <v>183.57514331575328</v>
      </c>
      <c r="AC54">
        <f t="shared" si="57"/>
        <v>945.78576744474708</v>
      </c>
      <c r="AD54" s="92">
        <v>7.1647589768628741</v>
      </c>
      <c r="AE54" s="92">
        <v>1930.1440214670338</v>
      </c>
      <c r="AF54" s="92">
        <v>70.760086564011715</v>
      </c>
      <c r="AG54">
        <f>Tableau4[[#This Row],[KUVC rest. à emporter / traiteur]]</f>
        <v>819.50681621181127</v>
      </c>
      <c r="AH54">
        <v>31.050861769983563</v>
      </c>
      <c r="AI54">
        <v>348.00257887619671</v>
      </c>
      <c r="AJ54">
        <v>5.6908657016225108</v>
      </c>
      <c r="AK54">
        <f t="shared" si="58"/>
        <v>3212.3199895675225</v>
      </c>
      <c r="AL54" s="92">
        <f>Tableau4[[#This Row],[KUVC Miel Conso]]*BC$94</f>
        <v>2.5076656419020056</v>
      </c>
      <c r="AM54" s="92">
        <f>Tableau4[[#This Row],[KUVC ind. Lait.  Conso]]*BD$94</f>
        <v>386.02880429340678</v>
      </c>
      <c r="AN54" s="92">
        <f>Tableau4[[#This Row],[KUVC fermiers   Conso]]*BE$94</f>
        <v>24.7660302974041</v>
      </c>
      <c r="AO54" s="92">
        <f>Tableau4[[#This Row],[KUVC rest. à emporter  Conso]]*BF$94</f>
        <v>81.950681621181133</v>
      </c>
      <c r="AP54" s="92">
        <f>Tableau4[[#This Row],[KUVC portage domicile  Conso]]*BG$94</f>
        <v>31.050861769983563</v>
      </c>
      <c r="AQ54" s="92">
        <f>Tableau4[[#This Row],[KUVC bière  Conso]]*BH$94</f>
        <v>278.40206310095738</v>
      </c>
      <c r="AR54" s="92">
        <f>Tableau4[[#This Row],[KUVC cidricole  Conso]]*BI$94</f>
        <v>4.5526925612980085</v>
      </c>
      <c r="AS54">
        <f t="shared" si="59"/>
        <v>809.25879928613313</v>
      </c>
      <c r="AT54">
        <f t="shared" si="60"/>
        <v>2.5076656419020056</v>
      </c>
      <c r="AU54">
        <f t="shared" si="61"/>
        <v>386.02880429340678</v>
      </c>
      <c r="AV54">
        <f t="shared" si="62"/>
        <v>24.7660302974041</v>
      </c>
      <c r="AW54">
        <f t="shared" si="63"/>
        <v>81.950681621181133</v>
      </c>
      <c r="AX54">
        <f t="shared" si="64"/>
        <v>31.050861769983563</v>
      </c>
      <c r="AY54">
        <f t="shared" si="65"/>
        <v>32.966666664999998</v>
      </c>
      <c r="AZ54">
        <f t="shared" si="66"/>
        <v>4.5526925612980085</v>
      </c>
      <c r="BA54">
        <f t="shared" si="67"/>
        <v>563.82340285017574</v>
      </c>
      <c r="BB54">
        <f t="shared" si="68"/>
        <v>7.1647589768628741</v>
      </c>
      <c r="BC54">
        <f t="shared" si="69"/>
        <v>1930.1440214670338</v>
      </c>
      <c r="BD54">
        <f t="shared" si="70"/>
        <v>70.760086564011715</v>
      </c>
      <c r="BE54">
        <f t="shared" si="71"/>
        <v>819.50681621181127</v>
      </c>
      <c r="BF54">
        <f t="shared" si="72"/>
        <v>31.050861769983563</v>
      </c>
      <c r="BG54">
        <f t="shared" si="73"/>
        <v>41.208333331249996</v>
      </c>
      <c r="BH54">
        <f t="shared" si="74"/>
        <v>5.6908657016225108</v>
      </c>
      <c r="BI54">
        <f t="shared" si="75"/>
        <v>2905.5257440225755</v>
      </c>
    </row>
    <row r="55" spans="1:61">
      <c r="A55">
        <v>35</v>
      </c>
      <c r="B55">
        <v>3</v>
      </c>
      <c r="C55">
        <v>61</v>
      </c>
      <c r="D55" t="s">
        <v>70</v>
      </c>
      <c r="E55" t="s">
        <v>71</v>
      </c>
      <c r="F55">
        <v>15.022083337368484</v>
      </c>
      <c r="G55">
        <v>6076.6201217329026</v>
      </c>
      <c r="H55">
        <v>453.73636808785875</v>
      </c>
      <c r="I55">
        <v>1493.3302546959221</v>
      </c>
      <c r="J55">
        <v>60.09318877512554</v>
      </c>
      <c r="K55">
        <v>41.208333331249996</v>
      </c>
      <c r="L55">
        <v>1835.7514331575328</v>
      </c>
      <c r="M55">
        <f t="shared" si="41"/>
        <v>9975.7617831179614</v>
      </c>
      <c r="N55">
        <f t="shared" si="42"/>
        <v>5.2577291680789688</v>
      </c>
      <c r="O55">
        <f t="shared" si="43"/>
        <v>1215.3240243465805</v>
      </c>
      <c r="P55">
        <f t="shared" si="44"/>
        <v>158.80772883075056</v>
      </c>
      <c r="Q55">
        <f t="shared" si="45"/>
        <v>149.33302546959223</v>
      </c>
      <c r="R55">
        <f t="shared" si="46"/>
        <v>60.09318877512554</v>
      </c>
      <c r="S55">
        <f t="shared" si="47"/>
        <v>32.966666664999998</v>
      </c>
      <c r="T55">
        <f t="shared" si="48"/>
        <v>1468.6011465260262</v>
      </c>
      <c r="U55">
        <f t="shared" si="49"/>
        <v>3090.3835097811543</v>
      </c>
      <c r="V55">
        <f t="shared" si="50"/>
        <v>1.5022083337368484</v>
      </c>
      <c r="W55">
        <f t="shared" si="51"/>
        <v>607.66201217329024</v>
      </c>
      <c r="X55">
        <f t="shared" si="52"/>
        <v>45.373636808785875</v>
      </c>
      <c r="Y55">
        <f t="shared" si="53"/>
        <v>149.33302546959223</v>
      </c>
      <c r="Z55">
        <f t="shared" si="54"/>
        <v>60.09318877512554</v>
      </c>
      <c r="AA55">
        <f t="shared" si="55"/>
        <v>4.1208333331249998</v>
      </c>
      <c r="AB55">
        <f t="shared" si="56"/>
        <v>183.57514331575328</v>
      </c>
      <c r="AC55">
        <f t="shared" si="57"/>
        <v>1051.6600482094091</v>
      </c>
      <c r="AD55" s="92">
        <v>18.633037720375508</v>
      </c>
      <c r="AE55" s="92">
        <v>5019.6310125563678</v>
      </c>
      <c r="AF55" s="92">
        <v>184.02229109199811</v>
      </c>
      <c r="AG55">
        <f>Tableau4[[#This Row],[KUVC rest. à emporter / traiteur]]</f>
        <v>1493.3302546959221</v>
      </c>
      <c r="AH55">
        <v>60.09318877512554</v>
      </c>
      <c r="AI55">
        <v>905.03326070395315</v>
      </c>
      <c r="AJ55">
        <v>14.799955675041115</v>
      </c>
      <c r="AK55">
        <f t="shared" si="58"/>
        <v>7695.5430012187835</v>
      </c>
      <c r="AL55" s="92">
        <f>Tableau4[[#This Row],[KUVC Miel Conso]]*BC$94</f>
        <v>6.5215632021314276</v>
      </c>
      <c r="AM55" s="92">
        <f>Tableau4[[#This Row],[KUVC ind. Lait.  Conso]]*BD$94</f>
        <v>1003.9262025112736</v>
      </c>
      <c r="AN55" s="92">
        <f>Tableau4[[#This Row],[KUVC fermiers   Conso]]*BE$94</f>
        <v>64.407801882199337</v>
      </c>
      <c r="AO55" s="92">
        <f>Tableau4[[#This Row],[KUVC rest. à emporter  Conso]]*BF$94</f>
        <v>149.33302546959223</v>
      </c>
      <c r="AP55" s="92">
        <f>Tableau4[[#This Row],[KUVC portage domicile  Conso]]*BG$94</f>
        <v>60.09318877512554</v>
      </c>
      <c r="AQ55" s="92">
        <f>Tableau4[[#This Row],[KUVC bière  Conso]]*BH$94</f>
        <v>724.02660856316254</v>
      </c>
      <c r="AR55" s="92">
        <f>Tableau4[[#This Row],[KUVC cidricole  Conso]]*BI$94</f>
        <v>11.839964540032893</v>
      </c>
      <c r="AS55">
        <f t="shared" si="59"/>
        <v>2020.1483549435177</v>
      </c>
      <c r="AT55">
        <f t="shared" si="60"/>
        <v>5.2577291680789688</v>
      </c>
      <c r="AU55">
        <f t="shared" si="61"/>
        <v>1003.9262025112736</v>
      </c>
      <c r="AV55">
        <f t="shared" si="62"/>
        <v>64.407801882199337</v>
      </c>
      <c r="AW55">
        <f t="shared" si="63"/>
        <v>149.33302546959223</v>
      </c>
      <c r="AX55">
        <f t="shared" si="64"/>
        <v>60.09318877512554</v>
      </c>
      <c r="AY55">
        <f t="shared" si="65"/>
        <v>32.966666664999998</v>
      </c>
      <c r="AZ55">
        <f t="shared" si="66"/>
        <v>11.839964540032893</v>
      </c>
      <c r="BA55">
        <f t="shared" si="67"/>
        <v>1327.8245790113026</v>
      </c>
      <c r="BB55">
        <f t="shared" si="68"/>
        <v>15.022083337368484</v>
      </c>
      <c r="BC55">
        <f t="shared" si="69"/>
        <v>5019.6310125563678</v>
      </c>
      <c r="BD55">
        <f t="shared" si="70"/>
        <v>184.02229109199811</v>
      </c>
      <c r="BE55">
        <f t="shared" si="71"/>
        <v>1493.3302546959221</v>
      </c>
      <c r="BF55">
        <f t="shared" si="72"/>
        <v>60.09318877512554</v>
      </c>
      <c r="BG55">
        <f t="shared" si="73"/>
        <v>41.208333331249996</v>
      </c>
      <c r="BH55">
        <f t="shared" si="74"/>
        <v>14.799955675041115</v>
      </c>
      <c r="BI55">
        <f t="shared" si="75"/>
        <v>6828.107119463074</v>
      </c>
    </row>
    <row r="56" spans="1:61">
      <c r="A56">
        <v>48</v>
      </c>
      <c r="B56">
        <v>3</v>
      </c>
      <c r="C56">
        <v>61</v>
      </c>
      <c r="D56" t="s">
        <v>96</v>
      </c>
      <c r="E56" t="s">
        <v>97</v>
      </c>
      <c r="F56">
        <v>15.022083337368484</v>
      </c>
      <c r="G56">
        <v>6076.6201217329026</v>
      </c>
      <c r="H56">
        <v>381.77196761690067</v>
      </c>
      <c r="I56">
        <v>1300.8476265784275</v>
      </c>
      <c r="J56">
        <v>45.952018336173225</v>
      </c>
      <c r="K56">
        <v>41.208333331249996</v>
      </c>
      <c r="L56">
        <v>1835.7514331575328</v>
      </c>
      <c r="M56">
        <f t="shared" si="41"/>
        <v>9697.1735840905549</v>
      </c>
      <c r="N56">
        <f t="shared" si="42"/>
        <v>5.2577291680789688</v>
      </c>
      <c r="O56">
        <f t="shared" si="43"/>
        <v>1215.3240243465805</v>
      </c>
      <c r="P56">
        <f t="shared" si="44"/>
        <v>133.62018866591524</v>
      </c>
      <c r="Q56">
        <f t="shared" si="45"/>
        <v>130.08476265784276</v>
      </c>
      <c r="R56">
        <f t="shared" si="46"/>
        <v>45.952018336173225</v>
      </c>
      <c r="S56">
        <f t="shared" si="47"/>
        <v>32.966666664999998</v>
      </c>
      <c r="T56">
        <f t="shared" si="48"/>
        <v>1468.6011465260262</v>
      </c>
      <c r="U56">
        <f t="shared" si="49"/>
        <v>3031.8065363656169</v>
      </c>
      <c r="V56">
        <f t="shared" si="50"/>
        <v>1.5022083337368484</v>
      </c>
      <c r="W56">
        <f t="shared" si="51"/>
        <v>607.66201217329024</v>
      </c>
      <c r="X56">
        <f t="shared" si="52"/>
        <v>38.17719676169007</v>
      </c>
      <c r="Y56">
        <f t="shared" si="53"/>
        <v>130.08476265784276</v>
      </c>
      <c r="Z56">
        <f t="shared" si="54"/>
        <v>45.952018336173225</v>
      </c>
      <c r="AA56">
        <f t="shared" si="55"/>
        <v>4.1208333331249998</v>
      </c>
      <c r="AB56">
        <f t="shared" si="56"/>
        <v>183.57514331575328</v>
      </c>
      <c r="AC56">
        <f t="shared" si="57"/>
        <v>1011.0741749116113</v>
      </c>
      <c r="AD56" s="92">
        <v>10.688061407394571</v>
      </c>
      <c r="AE56" s="92">
        <v>2879.3010195002953</v>
      </c>
      <c r="AF56" s="92">
        <v>105.55667717937072</v>
      </c>
      <c r="AG56">
        <f>Tableau4[[#This Row],[KUVC rest. à emporter / traiteur]]</f>
        <v>1300.8476265784275</v>
      </c>
      <c r="AH56">
        <v>45.952018336173225</v>
      </c>
      <c r="AI56">
        <v>519.13441121630774</v>
      </c>
      <c r="AJ56">
        <v>8.4893744893019729</v>
      </c>
      <c r="AK56">
        <f t="shared" si="58"/>
        <v>4869.9691887072695</v>
      </c>
      <c r="AL56" s="92">
        <f>Tableau4[[#This Row],[KUVC Miel Conso]]*BC$94</f>
        <v>3.7408214925880996</v>
      </c>
      <c r="AM56" s="92">
        <f>Tableau4[[#This Row],[KUVC ind. Lait.  Conso]]*BD$94</f>
        <v>575.8602039000591</v>
      </c>
      <c r="AN56" s="92">
        <f>Tableau4[[#This Row],[KUVC fermiers   Conso]]*BE$94</f>
        <v>36.94483701277975</v>
      </c>
      <c r="AO56" s="92">
        <f>Tableau4[[#This Row],[KUVC rest. à emporter  Conso]]*BF$94</f>
        <v>130.08476265784276</v>
      </c>
      <c r="AP56" s="92">
        <f>Tableau4[[#This Row],[KUVC portage domicile  Conso]]*BG$94</f>
        <v>45.952018336173225</v>
      </c>
      <c r="AQ56" s="92">
        <f>Tableau4[[#This Row],[KUVC bière  Conso]]*BH$94</f>
        <v>415.3075289730462</v>
      </c>
      <c r="AR56" s="92">
        <f>Tableau4[[#This Row],[KUVC cidricole  Conso]]*BI$94</f>
        <v>6.7914995914415783</v>
      </c>
      <c r="AS56">
        <f t="shared" si="59"/>
        <v>1214.6816719639307</v>
      </c>
      <c r="AT56">
        <f t="shared" si="60"/>
        <v>3.7408214925880996</v>
      </c>
      <c r="AU56">
        <f t="shared" si="61"/>
        <v>575.8602039000591</v>
      </c>
      <c r="AV56">
        <f t="shared" si="62"/>
        <v>36.94483701277975</v>
      </c>
      <c r="AW56">
        <f t="shared" si="63"/>
        <v>130.08476265784276</v>
      </c>
      <c r="AX56">
        <f t="shared" si="64"/>
        <v>45.952018336173225</v>
      </c>
      <c r="AY56">
        <f t="shared" si="65"/>
        <v>32.966666664999998</v>
      </c>
      <c r="AZ56">
        <f t="shared" si="66"/>
        <v>6.7914995914415783</v>
      </c>
      <c r="BA56">
        <f t="shared" si="67"/>
        <v>832.34080965588453</v>
      </c>
      <c r="BB56">
        <f t="shared" si="68"/>
        <v>10.688061407394571</v>
      </c>
      <c r="BC56">
        <f t="shared" si="69"/>
        <v>2879.3010195002953</v>
      </c>
      <c r="BD56">
        <f t="shared" si="70"/>
        <v>105.55667717937072</v>
      </c>
      <c r="BE56">
        <f t="shared" si="71"/>
        <v>1300.8476265784275</v>
      </c>
      <c r="BF56">
        <f t="shared" si="72"/>
        <v>45.952018336173225</v>
      </c>
      <c r="BG56">
        <f t="shared" si="73"/>
        <v>41.208333331249996</v>
      </c>
      <c r="BH56">
        <f t="shared" si="74"/>
        <v>8.4893744893019729</v>
      </c>
      <c r="BI56">
        <f t="shared" si="75"/>
        <v>4392.0431108222119</v>
      </c>
    </row>
    <row r="57" spans="1:61">
      <c r="A57">
        <v>53</v>
      </c>
      <c r="B57">
        <v>3</v>
      </c>
      <c r="C57">
        <v>61</v>
      </c>
      <c r="D57" t="s">
        <v>106</v>
      </c>
      <c r="E57" t="s">
        <v>107</v>
      </c>
      <c r="F57">
        <v>15.022083337368484</v>
      </c>
      <c r="G57">
        <v>6076.6201217329026</v>
      </c>
      <c r="H57">
        <v>7.7094377741597695</v>
      </c>
      <c r="I57">
        <v>52.90320551770089</v>
      </c>
      <c r="J57">
        <v>1.3842604460394772</v>
      </c>
      <c r="K57">
        <v>41.208333331249996</v>
      </c>
      <c r="L57">
        <v>1835.7514331575328</v>
      </c>
      <c r="M57">
        <f t="shared" si="41"/>
        <v>8030.5988752969552</v>
      </c>
      <c r="N57">
        <f t="shared" si="42"/>
        <v>5.2577291680789688</v>
      </c>
      <c r="O57">
        <f t="shared" si="43"/>
        <v>1215.3240243465805</v>
      </c>
      <c r="P57">
        <f t="shared" si="44"/>
        <v>2.698303220955919</v>
      </c>
      <c r="Q57">
        <f t="shared" si="45"/>
        <v>5.2903205517700895</v>
      </c>
      <c r="R57">
        <f t="shared" si="46"/>
        <v>1.3842604460394772</v>
      </c>
      <c r="S57">
        <f t="shared" si="47"/>
        <v>32.966666664999998</v>
      </c>
      <c r="T57">
        <f t="shared" si="48"/>
        <v>1468.6011465260262</v>
      </c>
      <c r="U57">
        <f t="shared" si="49"/>
        <v>2731.5224509244508</v>
      </c>
      <c r="V57">
        <f t="shared" si="50"/>
        <v>1.5022083337368484</v>
      </c>
      <c r="W57">
        <f t="shared" si="51"/>
        <v>607.66201217329024</v>
      </c>
      <c r="X57">
        <f t="shared" si="52"/>
        <v>0.77094377741597697</v>
      </c>
      <c r="Y57">
        <f t="shared" si="53"/>
        <v>5.2903205517700895</v>
      </c>
      <c r="Z57">
        <f t="shared" si="54"/>
        <v>1.3842604460394772</v>
      </c>
      <c r="AA57">
        <f t="shared" si="55"/>
        <v>4.1208333331249998</v>
      </c>
      <c r="AB57">
        <f t="shared" si="56"/>
        <v>183.57514331575328</v>
      </c>
      <c r="AC57">
        <f t="shared" si="57"/>
        <v>804.30572193113073</v>
      </c>
      <c r="AD57" s="92">
        <v>0.47261646319789818</v>
      </c>
      <c r="AE57" s="92">
        <v>127.32010160204119</v>
      </c>
      <c r="AF57" s="92">
        <v>4.6676213331747345</v>
      </c>
      <c r="AG57">
        <f>Tableau4[[#This Row],[KUVC rest. à emporter / traiteur]]</f>
        <v>52.90320551770089</v>
      </c>
      <c r="AH57">
        <v>1.3842604460394772</v>
      </c>
      <c r="AI57">
        <v>22.955656783897915</v>
      </c>
      <c r="AJ57">
        <v>0.37539250505433053</v>
      </c>
      <c r="AK57">
        <f t="shared" si="58"/>
        <v>210.07885465110644</v>
      </c>
      <c r="AL57" s="92">
        <f>Tableau4[[#This Row],[KUVC Miel Conso]]*BC$94</f>
        <v>0.16541576211926434</v>
      </c>
      <c r="AM57" s="92">
        <f>Tableau4[[#This Row],[KUVC ind. Lait.  Conso]]*BD$94</f>
        <v>25.464020320408238</v>
      </c>
      <c r="AN57" s="92">
        <f>Tableau4[[#This Row],[KUVC fermiers   Conso]]*BE$94</f>
        <v>1.633667466611157</v>
      </c>
      <c r="AO57" s="92">
        <f>Tableau4[[#This Row],[KUVC rest. à emporter  Conso]]*BF$94</f>
        <v>5.2903205517700895</v>
      </c>
      <c r="AP57" s="92">
        <f>Tableau4[[#This Row],[KUVC portage domicile  Conso]]*BG$94</f>
        <v>1.3842604460394772</v>
      </c>
      <c r="AQ57" s="92">
        <f>Tableau4[[#This Row],[KUVC bière  Conso]]*BH$94</f>
        <v>18.364525427118334</v>
      </c>
      <c r="AR57" s="92">
        <f>Tableau4[[#This Row],[KUVC cidricole  Conso]]*BI$94</f>
        <v>0.30031400404346442</v>
      </c>
      <c r="AS57">
        <f t="shared" si="59"/>
        <v>52.602523978110021</v>
      </c>
      <c r="AT57">
        <f t="shared" si="60"/>
        <v>0.16541576211926434</v>
      </c>
      <c r="AU57">
        <f t="shared" si="61"/>
        <v>25.464020320408238</v>
      </c>
      <c r="AV57">
        <f t="shared" si="62"/>
        <v>1.633667466611157</v>
      </c>
      <c r="AW57">
        <f t="shared" si="63"/>
        <v>5.2903205517700895</v>
      </c>
      <c r="AX57">
        <f t="shared" si="64"/>
        <v>1.3842604460394772</v>
      </c>
      <c r="AY57">
        <f t="shared" si="65"/>
        <v>18.364525427118334</v>
      </c>
      <c r="AZ57">
        <f t="shared" si="66"/>
        <v>0.30031400404346442</v>
      </c>
      <c r="BA57">
        <f t="shared" si="67"/>
        <v>52.602523978110021</v>
      </c>
      <c r="BB57">
        <f t="shared" si="68"/>
        <v>0.47261646319789818</v>
      </c>
      <c r="BC57">
        <f t="shared" si="69"/>
        <v>127.32010160204119</v>
      </c>
      <c r="BD57">
        <f t="shared" si="70"/>
        <v>4.6676213331747345</v>
      </c>
      <c r="BE57">
        <f t="shared" si="71"/>
        <v>52.90320551770089</v>
      </c>
      <c r="BF57">
        <f t="shared" si="72"/>
        <v>1.3842604460394772</v>
      </c>
      <c r="BG57">
        <f t="shared" si="73"/>
        <v>22.955656783897915</v>
      </c>
      <c r="BH57">
        <f t="shared" si="74"/>
        <v>0.37539250505433053</v>
      </c>
      <c r="BI57">
        <f t="shared" si="75"/>
        <v>210.07885465110644</v>
      </c>
    </row>
    <row r="58" spans="1:61">
      <c r="A58">
        <v>31</v>
      </c>
      <c r="B58">
        <v>1</v>
      </c>
      <c r="C58">
        <v>76</v>
      </c>
      <c r="D58" t="s">
        <v>62</v>
      </c>
      <c r="E58" t="s">
        <v>63</v>
      </c>
      <c r="F58">
        <v>8.968988561465876</v>
      </c>
      <c r="G58">
        <v>18905.040378724589</v>
      </c>
      <c r="H58">
        <v>610.09582576458138</v>
      </c>
      <c r="I58">
        <v>4994.2808308671592</v>
      </c>
      <c r="J58">
        <v>85.254158059019545</v>
      </c>
      <c r="K58">
        <v>155.67592591805555</v>
      </c>
      <c r="L58">
        <v>489.24843945068665</v>
      </c>
      <c r="M58">
        <f t="shared" si="41"/>
        <v>25248.564547345552</v>
      </c>
      <c r="N58">
        <f t="shared" si="42"/>
        <v>3.1391459965130566</v>
      </c>
      <c r="O58">
        <f t="shared" si="43"/>
        <v>3781.0080757449177</v>
      </c>
      <c r="P58">
        <f t="shared" si="44"/>
        <v>213.53353901760346</v>
      </c>
      <c r="Q58">
        <f t="shared" si="45"/>
        <v>499.42808308671596</v>
      </c>
      <c r="R58">
        <f t="shared" si="46"/>
        <v>85.254158059019545</v>
      </c>
      <c r="S58">
        <f t="shared" si="47"/>
        <v>124.54074073444446</v>
      </c>
      <c r="T58">
        <f t="shared" si="48"/>
        <v>391.39875156054933</v>
      </c>
      <c r="U58">
        <f t="shared" si="49"/>
        <v>5098.3024941997637</v>
      </c>
      <c r="V58">
        <f t="shared" si="50"/>
        <v>0.8968988561465876</v>
      </c>
      <c r="W58">
        <f t="shared" si="51"/>
        <v>1890.5040378724589</v>
      </c>
      <c r="X58">
        <f t="shared" si="52"/>
        <v>61.009582576458143</v>
      </c>
      <c r="Y58">
        <f t="shared" si="53"/>
        <v>499.42808308671596</v>
      </c>
      <c r="Z58">
        <f t="shared" si="54"/>
        <v>85.254158059019545</v>
      </c>
      <c r="AA58">
        <f t="shared" si="55"/>
        <v>15.567592591805557</v>
      </c>
      <c r="AB58">
        <f t="shared" si="56"/>
        <v>48.924843945068666</v>
      </c>
      <c r="AC58">
        <f t="shared" si="57"/>
        <v>2601.585196987673</v>
      </c>
      <c r="AD58" s="92">
        <v>40.077936829180366</v>
      </c>
      <c r="AE58" s="92">
        <v>10796.760981546198</v>
      </c>
      <c r="AF58" s="92">
        <v>395.81488902806291</v>
      </c>
      <c r="AG58">
        <f>Tableau4[[#This Row],[KUVC rest. à emporter / traiteur]]</f>
        <v>4994.2808308671592</v>
      </c>
      <c r="AH58">
        <v>85.254158059019545</v>
      </c>
      <c r="AI58">
        <v>1946.6426459887607</v>
      </c>
      <c r="AJ58">
        <v>31.833332681463261</v>
      </c>
      <c r="AK58">
        <f t="shared" si="58"/>
        <v>18290.664774999845</v>
      </c>
      <c r="AL58" s="92">
        <f>Tableau4[[#This Row],[KUVC Miel Conso]]*BC$94</f>
        <v>14.027277890213128</v>
      </c>
      <c r="AM58" s="92">
        <f>Tableau4[[#This Row],[KUVC ind. Lait.  Conso]]*BD$94</f>
        <v>2159.3521963092398</v>
      </c>
      <c r="AN58" s="92">
        <f>Tableau4[[#This Row],[KUVC fermiers   Conso]]*BE$94</f>
        <v>138.53521115982201</v>
      </c>
      <c r="AO58" s="92">
        <f>Tableau4[[#This Row],[KUVC rest. à emporter  Conso]]*BF$94</f>
        <v>499.42808308671596</v>
      </c>
      <c r="AP58" s="92">
        <f>Tableau4[[#This Row],[KUVC portage domicile  Conso]]*BG$94</f>
        <v>85.254158059019545</v>
      </c>
      <c r="AQ58" s="92">
        <f>Tableau4[[#This Row],[KUVC bière  Conso]]*BH$94</f>
        <v>1557.3141167910087</v>
      </c>
      <c r="AR58" s="92">
        <f>Tableau4[[#This Row],[KUVC cidricole  Conso]]*BI$94</f>
        <v>25.46666614517061</v>
      </c>
      <c r="AS58">
        <f t="shared" si="59"/>
        <v>4479.3777094411898</v>
      </c>
      <c r="AT58">
        <f t="shared" si="60"/>
        <v>3.1391459965130566</v>
      </c>
      <c r="AU58">
        <f t="shared" si="61"/>
        <v>2159.3521963092398</v>
      </c>
      <c r="AV58">
        <f t="shared" si="62"/>
        <v>138.53521115982201</v>
      </c>
      <c r="AW58">
        <f t="shared" si="63"/>
        <v>499.42808308671596</v>
      </c>
      <c r="AX58">
        <f t="shared" si="64"/>
        <v>85.254158059019545</v>
      </c>
      <c r="AY58">
        <f t="shared" si="65"/>
        <v>124.54074073444446</v>
      </c>
      <c r="AZ58">
        <f t="shared" si="66"/>
        <v>25.46666614517061</v>
      </c>
      <c r="BA58">
        <f t="shared" si="67"/>
        <v>3035.7162014909259</v>
      </c>
      <c r="BB58">
        <f t="shared" si="68"/>
        <v>8.968988561465876</v>
      </c>
      <c r="BC58">
        <f t="shared" si="69"/>
        <v>10796.760981546198</v>
      </c>
      <c r="BD58">
        <f t="shared" si="70"/>
        <v>395.81488902806291</v>
      </c>
      <c r="BE58">
        <f t="shared" si="71"/>
        <v>4994.2808308671592</v>
      </c>
      <c r="BF58">
        <f t="shared" si="72"/>
        <v>85.254158059019545</v>
      </c>
      <c r="BG58">
        <f t="shared" si="73"/>
        <v>155.67592591805555</v>
      </c>
      <c r="BH58">
        <f t="shared" si="74"/>
        <v>31.833332681463261</v>
      </c>
      <c r="BI58">
        <f t="shared" si="75"/>
        <v>16468.589106661424</v>
      </c>
    </row>
    <row r="59" spans="1:61">
      <c r="A59">
        <v>39</v>
      </c>
      <c r="B59">
        <v>1</v>
      </c>
      <c r="C59">
        <v>76</v>
      </c>
      <c r="D59" t="s">
        <v>78</v>
      </c>
      <c r="E59" t="s">
        <v>79</v>
      </c>
      <c r="F59">
        <v>8.968988561465876</v>
      </c>
      <c r="G59">
        <v>18905.040378724589</v>
      </c>
      <c r="H59">
        <v>472.34148448602571</v>
      </c>
      <c r="I59">
        <v>1945.2675373458474</v>
      </c>
      <c r="J59">
        <v>54.393292820845325</v>
      </c>
      <c r="K59">
        <v>155.67592591805555</v>
      </c>
      <c r="L59">
        <v>489.24843945068665</v>
      </c>
      <c r="M59">
        <f t="shared" si="41"/>
        <v>22030.936047307514</v>
      </c>
      <c r="N59">
        <f t="shared" si="42"/>
        <v>3.1391459965130566</v>
      </c>
      <c r="O59">
        <f t="shared" si="43"/>
        <v>3781.0080757449177</v>
      </c>
      <c r="P59">
        <f t="shared" si="44"/>
        <v>165.31951957010898</v>
      </c>
      <c r="Q59">
        <f t="shared" si="45"/>
        <v>194.52675373458476</v>
      </c>
      <c r="R59">
        <f t="shared" si="46"/>
        <v>54.393292820845325</v>
      </c>
      <c r="S59">
        <f t="shared" si="47"/>
        <v>124.54074073444446</v>
      </c>
      <c r="T59">
        <f t="shared" si="48"/>
        <v>391.39875156054933</v>
      </c>
      <c r="U59">
        <f t="shared" si="49"/>
        <v>4714.326280161964</v>
      </c>
      <c r="V59">
        <f t="shared" si="50"/>
        <v>0.8968988561465876</v>
      </c>
      <c r="W59">
        <f t="shared" si="51"/>
        <v>1890.5040378724589</v>
      </c>
      <c r="X59">
        <f t="shared" si="52"/>
        <v>47.234148448602575</v>
      </c>
      <c r="Y59">
        <f t="shared" si="53"/>
        <v>194.52675373458476</v>
      </c>
      <c r="Z59">
        <f t="shared" si="54"/>
        <v>54.393292820845325</v>
      </c>
      <c r="AA59">
        <f t="shared" si="55"/>
        <v>15.567592591805557</v>
      </c>
      <c r="AB59">
        <f t="shared" si="56"/>
        <v>48.924843945068666</v>
      </c>
      <c r="AC59">
        <f t="shared" si="57"/>
        <v>2252.0475682695123</v>
      </c>
      <c r="AD59" s="92">
        <v>16.875998167437899</v>
      </c>
      <c r="AE59" s="92">
        <v>4546.2948683070972</v>
      </c>
      <c r="AF59" s="92">
        <v>166.66954115808545</v>
      </c>
      <c r="AG59">
        <f>Tableau4[[#This Row],[KUVC rest. à emporter / traiteur]]</f>
        <v>1945.2675373458474</v>
      </c>
      <c r="AH59">
        <v>54.393292820845325</v>
      </c>
      <c r="AI59">
        <v>819.6913395612695</v>
      </c>
      <c r="AJ59">
        <v>13.404364258707817</v>
      </c>
      <c r="AK59">
        <f t="shared" si="58"/>
        <v>7562.5969416192902</v>
      </c>
      <c r="AL59" s="92">
        <f>Tableau4[[#This Row],[KUVC Miel Conso]]*BC$94</f>
        <v>5.9065993586032643</v>
      </c>
      <c r="AM59" s="92">
        <f>Tableau4[[#This Row],[KUVC ind. Lait.  Conso]]*BD$94</f>
        <v>909.25897366141953</v>
      </c>
      <c r="AN59" s="92">
        <f>Tableau4[[#This Row],[KUVC fermiers   Conso]]*BE$94</f>
        <v>58.334339405329906</v>
      </c>
      <c r="AO59" s="92">
        <f>Tableau4[[#This Row],[KUVC rest. à emporter  Conso]]*BF$94</f>
        <v>194.52675373458476</v>
      </c>
      <c r="AP59" s="92">
        <f>Tableau4[[#This Row],[KUVC portage domicile  Conso]]*BG$94</f>
        <v>54.393292820845325</v>
      </c>
      <c r="AQ59" s="92">
        <f>Tableau4[[#This Row],[KUVC bière  Conso]]*BH$94</f>
        <v>655.75307164901562</v>
      </c>
      <c r="AR59" s="92">
        <f>Tableau4[[#This Row],[KUVC cidricole  Conso]]*BI$94</f>
        <v>10.723491406966254</v>
      </c>
      <c r="AS59">
        <f t="shared" si="59"/>
        <v>1888.896522036765</v>
      </c>
      <c r="AT59">
        <f t="shared" si="60"/>
        <v>3.1391459965130566</v>
      </c>
      <c r="AU59">
        <f t="shared" si="61"/>
        <v>909.25897366141953</v>
      </c>
      <c r="AV59">
        <f t="shared" si="62"/>
        <v>58.334339405329906</v>
      </c>
      <c r="AW59">
        <f t="shared" si="63"/>
        <v>194.52675373458476</v>
      </c>
      <c r="AX59">
        <f t="shared" si="64"/>
        <v>54.393292820845325</v>
      </c>
      <c r="AY59">
        <f t="shared" si="65"/>
        <v>124.54074073444446</v>
      </c>
      <c r="AZ59">
        <f t="shared" si="66"/>
        <v>10.723491406966254</v>
      </c>
      <c r="BA59">
        <f t="shared" si="67"/>
        <v>1354.9167377601034</v>
      </c>
      <c r="BB59">
        <f t="shared" si="68"/>
        <v>8.968988561465876</v>
      </c>
      <c r="BC59">
        <f t="shared" si="69"/>
        <v>4546.2948683070972</v>
      </c>
      <c r="BD59">
        <f t="shared" si="70"/>
        <v>166.66954115808545</v>
      </c>
      <c r="BE59">
        <f t="shared" si="71"/>
        <v>1945.2675373458474</v>
      </c>
      <c r="BF59">
        <f t="shared" si="72"/>
        <v>54.393292820845325</v>
      </c>
      <c r="BG59">
        <f t="shared" si="73"/>
        <v>155.67592591805555</v>
      </c>
      <c r="BH59">
        <f t="shared" si="74"/>
        <v>13.404364258707817</v>
      </c>
      <c r="BI59">
        <f t="shared" si="75"/>
        <v>6890.674518370105</v>
      </c>
    </row>
    <row r="60" spans="1:61">
      <c r="A60">
        <v>40</v>
      </c>
      <c r="B60">
        <v>1</v>
      </c>
      <c r="C60">
        <v>76</v>
      </c>
      <c r="D60" t="s">
        <v>80</v>
      </c>
      <c r="E60" t="s">
        <v>81</v>
      </c>
      <c r="F60">
        <v>8.968988561465876</v>
      </c>
      <c r="G60">
        <v>18905.040378724589</v>
      </c>
      <c r="H60">
        <v>754.47798070812667</v>
      </c>
      <c r="I60">
        <v>3380.5071811004295</v>
      </c>
      <c r="J60">
        <v>96.952515946137495</v>
      </c>
      <c r="K60">
        <v>155.67592591805555</v>
      </c>
      <c r="L60">
        <v>489.24843945068665</v>
      </c>
      <c r="M60">
        <f t="shared" si="41"/>
        <v>23790.871410409487</v>
      </c>
      <c r="N60">
        <f t="shared" si="42"/>
        <v>3.1391459965130566</v>
      </c>
      <c r="O60">
        <f t="shared" si="43"/>
        <v>3781.0080757449177</v>
      </c>
      <c r="P60">
        <f t="shared" si="44"/>
        <v>264.0672932478443</v>
      </c>
      <c r="Q60">
        <f t="shared" si="45"/>
        <v>338.05071811004296</v>
      </c>
      <c r="R60">
        <f t="shared" si="46"/>
        <v>96.952515946137495</v>
      </c>
      <c r="S60">
        <f t="shared" si="47"/>
        <v>124.54074073444446</v>
      </c>
      <c r="T60">
        <f t="shared" si="48"/>
        <v>391.39875156054933</v>
      </c>
      <c r="U60">
        <f t="shared" si="49"/>
        <v>4999.1572413404492</v>
      </c>
      <c r="V60">
        <f t="shared" si="50"/>
        <v>0.8968988561465876</v>
      </c>
      <c r="W60">
        <f t="shared" si="51"/>
        <v>1890.5040378724589</v>
      </c>
      <c r="X60">
        <f t="shared" si="52"/>
        <v>75.447798070812667</v>
      </c>
      <c r="Y60">
        <f t="shared" si="53"/>
        <v>338.05071811004296</v>
      </c>
      <c r="Z60">
        <f t="shared" si="54"/>
        <v>96.952515946137495</v>
      </c>
      <c r="AA60">
        <f t="shared" si="55"/>
        <v>15.567592591805557</v>
      </c>
      <c r="AB60">
        <f t="shared" si="56"/>
        <v>48.924843945068666</v>
      </c>
      <c r="AC60">
        <f t="shared" si="57"/>
        <v>2466.3444053924723</v>
      </c>
      <c r="AD60" s="92">
        <v>33.672605745718116</v>
      </c>
      <c r="AE60" s="92">
        <v>9071.202377804455</v>
      </c>
      <c r="AF60" s="92">
        <v>332.55501058684865</v>
      </c>
      <c r="AG60">
        <f>Tableau4[[#This Row],[KUVC rest. à emporter / traiteur]]</f>
        <v>3380.5071811004295</v>
      </c>
      <c r="AH60">
        <v>96.952515946137495</v>
      </c>
      <c r="AI60">
        <v>1635.5265647920228</v>
      </c>
      <c r="AJ60">
        <v>26.745669706598957</v>
      </c>
      <c r="AK60">
        <f t="shared" si="58"/>
        <v>14577.161925682209</v>
      </c>
      <c r="AL60" s="92">
        <f>Tableau4[[#This Row],[KUVC Miel Conso]]*BC$94</f>
        <v>11.785412011001339</v>
      </c>
      <c r="AM60" s="92">
        <f>Tableau4[[#This Row],[KUVC ind. Lait.  Conso]]*BD$94</f>
        <v>1814.2404755608911</v>
      </c>
      <c r="AN60" s="92">
        <f>Tableau4[[#This Row],[KUVC fermiers   Conso]]*BE$94</f>
        <v>116.39425370539702</v>
      </c>
      <c r="AO60" s="92">
        <f>Tableau4[[#This Row],[KUVC rest. à emporter  Conso]]*BF$94</f>
        <v>338.05071811004296</v>
      </c>
      <c r="AP60" s="92">
        <f>Tableau4[[#This Row],[KUVC portage domicile  Conso]]*BG$94</f>
        <v>96.952515946137495</v>
      </c>
      <c r="AQ60" s="92">
        <f>Tableau4[[#This Row],[KUVC bière  Conso]]*BH$94</f>
        <v>1308.4212518336183</v>
      </c>
      <c r="AR60" s="92">
        <f>Tableau4[[#This Row],[KUVC cidricole  Conso]]*BI$94</f>
        <v>21.396535765279168</v>
      </c>
      <c r="AS60">
        <f t="shared" si="59"/>
        <v>3707.2411629323674</v>
      </c>
      <c r="AT60">
        <f t="shared" si="60"/>
        <v>3.1391459965130566</v>
      </c>
      <c r="AU60">
        <f t="shared" si="61"/>
        <v>1814.2404755608911</v>
      </c>
      <c r="AV60">
        <f t="shared" si="62"/>
        <v>116.39425370539702</v>
      </c>
      <c r="AW60">
        <f t="shared" si="63"/>
        <v>338.05071811004296</v>
      </c>
      <c r="AX60">
        <f t="shared" si="64"/>
        <v>96.952515946137495</v>
      </c>
      <c r="AY60">
        <f t="shared" si="65"/>
        <v>124.54074073444446</v>
      </c>
      <c r="AZ60">
        <f t="shared" si="66"/>
        <v>21.396535765279168</v>
      </c>
      <c r="BA60">
        <f t="shared" si="67"/>
        <v>2514.7143858187051</v>
      </c>
      <c r="BB60">
        <f t="shared" si="68"/>
        <v>8.968988561465876</v>
      </c>
      <c r="BC60">
        <f t="shared" si="69"/>
        <v>9071.202377804455</v>
      </c>
      <c r="BD60">
        <f t="shared" si="70"/>
        <v>332.55501058684865</v>
      </c>
      <c r="BE60">
        <f t="shared" si="71"/>
        <v>3380.5071811004295</v>
      </c>
      <c r="BF60">
        <f t="shared" si="72"/>
        <v>96.952515946137495</v>
      </c>
      <c r="BG60">
        <f t="shared" si="73"/>
        <v>155.67592591805555</v>
      </c>
      <c r="BH60">
        <f t="shared" si="74"/>
        <v>26.745669706598957</v>
      </c>
      <c r="BI60">
        <f t="shared" si="75"/>
        <v>13072.607669623991</v>
      </c>
    </row>
    <row r="61" spans="1:61">
      <c r="A61">
        <v>42</v>
      </c>
      <c r="B61">
        <v>1</v>
      </c>
      <c r="C61">
        <v>76</v>
      </c>
      <c r="D61" t="s">
        <v>84</v>
      </c>
      <c r="E61" t="s">
        <v>85</v>
      </c>
      <c r="F61">
        <v>8.968988561465876</v>
      </c>
      <c r="G61">
        <v>18905.040378724589</v>
      </c>
      <c r="H61">
        <v>626.60597019976353</v>
      </c>
      <c r="I61">
        <v>3565.997251283186</v>
      </c>
      <c r="J61">
        <v>68.670175068232879</v>
      </c>
      <c r="K61">
        <v>155.67592591805555</v>
      </c>
      <c r="L61">
        <v>489.24843945068665</v>
      </c>
      <c r="M61">
        <f t="shared" si="41"/>
        <v>23820.207129205974</v>
      </c>
      <c r="N61">
        <f t="shared" si="42"/>
        <v>3.1391459965130566</v>
      </c>
      <c r="O61">
        <f t="shared" si="43"/>
        <v>3781.0080757449177</v>
      </c>
      <c r="P61">
        <f t="shared" si="44"/>
        <v>219.31208956991722</v>
      </c>
      <c r="Q61">
        <f t="shared" si="45"/>
        <v>356.5997251283186</v>
      </c>
      <c r="R61">
        <f t="shared" si="46"/>
        <v>68.670175068232879</v>
      </c>
      <c r="S61">
        <f t="shared" si="47"/>
        <v>124.54074073444446</v>
      </c>
      <c r="T61">
        <f t="shared" si="48"/>
        <v>391.39875156054933</v>
      </c>
      <c r="U61">
        <f t="shared" si="49"/>
        <v>4944.668703802894</v>
      </c>
      <c r="V61">
        <f t="shared" si="50"/>
        <v>0.8968988561465876</v>
      </c>
      <c r="W61">
        <f t="shared" si="51"/>
        <v>1890.5040378724589</v>
      </c>
      <c r="X61">
        <f t="shared" si="52"/>
        <v>62.660597019976358</v>
      </c>
      <c r="Y61">
        <f t="shared" si="53"/>
        <v>356.5997251283186</v>
      </c>
      <c r="Z61">
        <f t="shared" si="54"/>
        <v>68.670175068232879</v>
      </c>
      <c r="AA61">
        <f t="shared" si="55"/>
        <v>15.567592591805557</v>
      </c>
      <c r="AB61">
        <f t="shared" si="56"/>
        <v>48.924843945068666</v>
      </c>
      <c r="AC61">
        <f t="shared" si="57"/>
        <v>2443.8238704820069</v>
      </c>
      <c r="AD61" s="92">
        <v>35.744144919737586</v>
      </c>
      <c r="AE61" s="92">
        <v>9629.2628743096902</v>
      </c>
      <c r="AF61" s="92">
        <v>353.01379946554181</v>
      </c>
      <c r="AG61">
        <f>Tableau4[[#This Row],[KUVC rest. à emporter / traiteur]]</f>
        <v>3565.997251283186</v>
      </c>
      <c r="AH61">
        <v>68.670175068232879</v>
      </c>
      <c r="AI61">
        <v>1736.1441818158255</v>
      </c>
      <c r="AJ61">
        <v>28.391063679105848</v>
      </c>
      <c r="AK61">
        <f t="shared" si="58"/>
        <v>15417.223490541321</v>
      </c>
      <c r="AL61" s="92">
        <f>Tableau4[[#This Row],[KUVC Miel Conso]]*BC$94</f>
        <v>12.510450721908155</v>
      </c>
      <c r="AM61" s="92">
        <f>Tableau4[[#This Row],[KUVC ind. Lait.  Conso]]*BD$94</f>
        <v>1925.8525748619381</v>
      </c>
      <c r="AN61" s="92">
        <f>Tableau4[[#This Row],[KUVC fermiers   Conso]]*BE$94</f>
        <v>123.55482981293963</v>
      </c>
      <c r="AO61" s="92">
        <f>Tableau4[[#This Row],[KUVC rest. à emporter  Conso]]*BF$94</f>
        <v>356.5997251283186</v>
      </c>
      <c r="AP61" s="92">
        <f>Tableau4[[#This Row],[KUVC portage domicile  Conso]]*BG$94</f>
        <v>68.670175068232879</v>
      </c>
      <c r="AQ61" s="92">
        <f>Tableau4[[#This Row],[KUVC bière  Conso]]*BH$94</f>
        <v>1388.9153454526604</v>
      </c>
      <c r="AR61" s="92">
        <f>Tableau4[[#This Row],[KUVC cidricole  Conso]]*BI$94</f>
        <v>22.712850943284678</v>
      </c>
      <c r="AS61">
        <f t="shared" si="59"/>
        <v>3898.8159519892824</v>
      </c>
      <c r="AT61">
        <f t="shared" si="60"/>
        <v>3.1391459965130566</v>
      </c>
      <c r="AU61">
        <f t="shared" si="61"/>
        <v>1925.8525748619381</v>
      </c>
      <c r="AV61">
        <f t="shared" si="62"/>
        <v>123.55482981293963</v>
      </c>
      <c r="AW61">
        <f t="shared" si="63"/>
        <v>356.5997251283186</v>
      </c>
      <c r="AX61">
        <f t="shared" si="64"/>
        <v>68.670175068232879</v>
      </c>
      <c r="AY61">
        <f t="shared" si="65"/>
        <v>124.54074073444446</v>
      </c>
      <c r="AZ61">
        <f t="shared" si="66"/>
        <v>22.712850943284678</v>
      </c>
      <c r="BA61">
        <f t="shared" si="67"/>
        <v>2625.0700425456716</v>
      </c>
      <c r="BB61">
        <f t="shared" si="68"/>
        <v>8.968988561465876</v>
      </c>
      <c r="BC61">
        <f t="shared" si="69"/>
        <v>9629.2628743096902</v>
      </c>
      <c r="BD61">
        <f t="shared" si="70"/>
        <v>353.01379946554181</v>
      </c>
      <c r="BE61">
        <f t="shared" si="71"/>
        <v>3565.997251283186</v>
      </c>
      <c r="BF61">
        <f t="shared" si="72"/>
        <v>68.670175068232879</v>
      </c>
      <c r="BG61">
        <f t="shared" si="73"/>
        <v>155.67592591805555</v>
      </c>
      <c r="BH61">
        <f t="shared" si="74"/>
        <v>28.391063679105848</v>
      </c>
      <c r="BI61">
        <f t="shared" si="75"/>
        <v>13809.98007828528</v>
      </c>
    </row>
    <row r="62" spans="1:61">
      <c r="A62">
        <v>44</v>
      </c>
      <c r="B62">
        <v>1</v>
      </c>
      <c r="C62">
        <v>76</v>
      </c>
      <c r="D62" t="s">
        <v>88</v>
      </c>
      <c r="E62" t="s">
        <v>89</v>
      </c>
      <c r="F62">
        <v>8.968988561465876</v>
      </c>
      <c r="G62">
        <v>18905.040378724589</v>
      </c>
      <c r="H62">
        <v>877.72724471063793</v>
      </c>
      <c r="I62">
        <v>2944.1292657658564</v>
      </c>
      <c r="J62">
        <v>71.547265407060024</v>
      </c>
      <c r="K62">
        <v>155.67592591805555</v>
      </c>
      <c r="L62">
        <v>489.24843945068665</v>
      </c>
      <c r="M62">
        <f t="shared" si="41"/>
        <v>23452.337508538349</v>
      </c>
      <c r="N62">
        <f t="shared" si="42"/>
        <v>3.1391459965130566</v>
      </c>
      <c r="O62">
        <f t="shared" si="43"/>
        <v>3781.0080757449177</v>
      </c>
      <c r="P62">
        <f t="shared" si="44"/>
        <v>307.20453564872327</v>
      </c>
      <c r="Q62">
        <f t="shared" si="45"/>
        <v>294.41292657658568</v>
      </c>
      <c r="R62">
        <f t="shared" si="46"/>
        <v>71.547265407060024</v>
      </c>
      <c r="S62">
        <f t="shared" si="47"/>
        <v>124.54074073444446</v>
      </c>
      <c r="T62">
        <f t="shared" si="48"/>
        <v>391.39875156054933</v>
      </c>
      <c r="U62">
        <f t="shared" si="49"/>
        <v>4973.2514416687936</v>
      </c>
      <c r="V62">
        <f t="shared" si="50"/>
        <v>0.8968988561465876</v>
      </c>
      <c r="W62">
        <f t="shared" si="51"/>
        <v>1890.5040378724589</v>
      </c>
      <c r="X62">
        <f t="shared" si="52"/>
        <v>87.772724471063796</v>
      </c>
      <c r="Y62">
        <f t="shared" si="53"/>
        <v>294.41292657658568</v>
      </c>
      <c r="Z62">
        <f t="shared" si="54"/>
        <v>71.547265407060024</v>
      </c>
      <c r="AA62">
        <f t="shared" si="55"/>
        <v>15.567592591805557</v>
      </c>
      <c r="AB62">
        <f t="shared" si="56"/>
        <v>48.924843945068666</v>
      </c>
      <c r="AC62">
        <f t="shared" si="57"/>
        <v>2409.6262897201887</v>
      </c>
      <c r="AD62" s="92">
        <v>23.746891273387831</v>
      </c>
      <c r="AE62" s="92">
        <v>6397.2731487230376</v>
      </c>
      <c r="AF62" s="92">
        <v>234.52737036338371</v>
      </c>
      <c r="AG62">
        <f>Tableau4[[#This Row],[KUVC rest. à emporter / traiteur]]</f>
        <v>2944.1292657658564</v>
      </c>
      <c r="AH62">
        <v>71.547265407060024</v>
      </c>
      <c r="AI62">
        <v>1153.4204332788377</v>
      </c>
      <c r="AJ62">
        <v>18.861816497148048</v>
      </c>
      <c r="AK62">
        <f t="shared" si="58"/>
        <v>10843.506191308712</v>
      </c>
      <c r="AL62" s="92">
        <f>Tableau4[[#This Row],[KUVC Miel Conso]]*BC$94</f>
        <v>8.3114119456857409</v>
      </c>
      <c r="AM62" s="92">
        <f>Tableau4[[#This Row],[KUVC ind. Lait.  Conso]]*BD$94</f>
        <v>1279.4546297446077</v>
      </c>
      <c r="AN62" s="92">
        <f>Tableau4[[#This Row],[KUVC fermiers   Conso]]*BE$94</f>
        <v>82.084579627184297</v>
      </c>
      <c r="AO62" s="92">
        <f>Tableau4[[#This Row],[KUVC rest. à emporter  Conso]]*BF$94</f>
        <v>294.41292657658568</v>
      </c>
      <c r="AP62" s="92">
        <f>Tableau4[[#This Row],[KUVC portage domicile  Conso]]*BG$94</f>
        <v>71.547265407060024</v>
      </c>
      <c r="AQ62" s="92">
        <f>Tableau4[[#This Row],[KUVC bière  Conso]]*BH$94</f>
        <v>922.73634662307018</v>
      </c>
      <c r="AR62" s="92">
        <f>Tableau4[[#This Row],[KUVC cidricole  Conso]]*BI$94</f>
        <v>15.08945319771844</v>
      </c>
      <c r="AS62">
        <f t="shared" si="59"/>
        <v>2673.636613121912</v>
      </c>
      <c r="AT62">
        <f t="shared" si="60"/>
        <v>3.1391459965130566</v>
      </c>
      <c r="AU62">
        <f t="shared" si="61"/>
        <v>1279.4546297446077</v>
      </c>
      <c r="AV62">
        <f t="shared" si="62"/>
        <v>82.084579627184297</v>
      </c>
      <c r="AW62">
        <f t="shared" si="63"/>
        <v>294.41292657658568</v>
      </c>
      <c r="AX62">
        <f t="shared" si="64"/>
        <v>71.547265407060024</v>
      </c>
      <c r="AY62">
        <f t="shared" si="65"/>
        <v>124.54074073444446</v>
      </c>
      <c r="AZ62">
        <f t="shared" si="66"/>
        <v>15.08945319771844</v>
      </c>
      <c r="BA62">
        <f t="shared" si="67"/>
        <v>1870.2687412841135</v>
      </c>
      <c r="BB62">
        <f t="shared" si="68"/>
        <v>8.968988561465876</v>
      </c>
      <c r="BC62">
        <f t="shared" si="69"/>
        <v>6397.2731487230376</v>
      </c>
      <c r="BD62">
        <f t="shared" si="70"/>
        <v>234.52737036338371</v>
      </c>
      <c r="BE62">
        <f t="shared" si="71"/>
        <v>2944.1292657658564</v>
      </c>
      <c r="BF62">
        <f t="shared" si="72"/>
        <v>71.547265407060024</v>
      </c>
      <c r="BG62">
        <f t="shared" si="73"/>
        <v>155.67592591805555</v>
      </c>
      <c r="BH62">
        <f t="shared" si="74"/>
        <v>18.861816497148048</v>
      </c>
      <c r="BI62">
        <f t="shared" si="75"/>
        <v>9830.9837812360092</v>
      </c>
    </row>
    <row r="63" spans="1:61">
      <c r="A63">
        <v>66</v>
      </c>
      <c r="B63">
        <v>1</v>
      </c>
      <c r="C63">
        <v>76</v>
      </c>
      <c r="D63" t="s">
        <v>132</v>
      </c>
      <c r="E63" t="s">
        <v>133</v>
      </c>
      <c r="F63">
        <v>8.968988561465876</v>
      </c>
      <c r="G63">
        <v>18905.040378724589</v>
      </c>
      <c r="H63">
        <v>244.70976097706045</v>
      </c>
      <c r="I63">
        <v>4030.371310285891</v>
      </c>
      <c r="J63">
        <v>67.611622962437991</v>
      </c>
      <c r="K63">
        <v>155.67592591805555</v>
      </c>
      <c r="L63">
        <v>489.24843945068665</v>
      </c>
      <c r="M63">
        <f t="shared" si="41"/>
        <v>23901.626426880186</v>
      </c>
      <c r="N63">
        <f t="shared" si="42"/>
        <v>3.1391459965130566</v>
      </c>
      <c r="O63">
        <f t="shared" si="43"/>
        <v>3781.0080757449177</v>
      </c>
      <c r="P63">
        <f t="shared" si="44"/>
        <v>85.648416341971156</v>
      </c>
      <c r="Q63">
        <f t="shared" si="45"/>
        <v>403.0371310285891</v>
      </c>
      <c r="R63">
        <f t="shared" si="46"/>
        <v>67.611622962437991</v>
      </c>
      <c r="S63">
        <f t="shared" si="47"/>
        <v>124.54074073444446</v>
      </c>
      <c r="T63">
        <f t="shared" si="48"/>
        <v>391.39875156054933</v>
      </c>
      <c r="U63">
        <f t="shared" si="49"/>
        <v>4856.383884369423</v>
      </c>
      <c r="V63">
        <f t="shared" si="50"/>
        <v>0.8968988561465876</v>
      </c>
      <c r="W63">
        <f t="shared" si="51"/>
        <v>1890.5040378724589</v>
      </c>
      <c r="X63">
        <f t="shared" si="52"/>
        <v>24.470976097706046</v>
      </c>
      <c r="Y63">
        <f t="shared" si="53"/>
        <v>403.0371310285891</v>
      </c>
      <c r="Z63">
        <f t="shared" si="54"/>
        <v>67.611622962437991</v>
      </c>
      <c r="AA63">
        <f t="shared" si="55"/>
        <v>15.567592591805557</v>
      </c>
      <c r="AB63">
        <f t="shared" si="56"/>
        <v>48.924843945068666</v>
      </c>
      <c r="AC63">
        <f t="shared" si="57"/>
        <v>2451.0131033542125</v>
      </c>
      <c r="AD63" s="92">
        <v>31.906078137511244</v>
      </c>
      <c r="AE63" s="92">
        <v>8595.3102071469748</v>
      </c>
      <c r="AF63" s="92">
        <v>315.10855539162225</v>
      </c>
      <c r="AG63">
        <f>Tableau4[[#This Row],[KUVC rest. à emporter / traiteur]]</f>
        <v>4030.371310285891</v>
      </c>
      <c r="AH63">
        <v>67.611622962437991</v>
      </c>
      <c r="AI63">
        <v>1549.7237952505463</v>
      </c>
      <c r="AJ63">
        <v>25.34254206350893</v>
      </c>
      <c r="AK63">
        <f t="shared" si="58"/>
        <v>14615.374111238492</v>
      </c>
      <c r="AL63" s="92">
        <f>Tableau4[[#This Row],[KUVC Miel Conso]]*BC$94</f>
        <v>11.167127348128934</v>
      </c>
      <c r="AM63" s="92">
        <f>Tableau4[[#This Row],[KUVC ind. Lait.  Conso]]*BD$94</f>
        <v>1719.0620414293951</v>
      </c>
      <c r="AN63" s="92">
        <f>Tableau4[[#This Row],[KUVC fermiers   Conso]]*BE$94</f>
        <v>110.28799438706778</v>
      </c>
      <c r="AO63" s="92">
        <f>Tableau4[[#This Row],[KUVC rest. à emporter  Conso]]*BF$94</f>
        <v>403.0371310285891</v>
      </c>
      <c r="AP63" s="92">
        <f>Tableau4[[#This Row],[KUVC portage domicile  Conso]]*BG$94</f>
        <v>67.611622962437991</v>
      </c>
      <c r="AQ63" s="92">
        <f>Tableau4[[#This Row],[KUVC bière  Conso]]*BH$94</f>
        <v>1239.7790362004371</v>
      </c>
      <c r="AR63" s="92">
        <f>Tableau4[[#This Row],[KUVC cidricole  Conso]]*BI$94</f>
        <v>20.274033650807144</v>
      </c>
      <c r="AS63">
        <f t="shared" si="59"/>
        <v>3571.2189870068632</v>
      </c>
      <c r="AT63">
        <f t="shared" si="60"/>
        <v>3.1391459965130566</v>
      </c>
      <c r="AU63">
        <f t="shared" si="61"/>
        <v>1719.0620414293951</v>
      </c>
      <c r="AV63">
        <f t="shared" si="62"/>
        <v>85.648416341971156</v>
      </c>
      <c r="AW63">
        <f t="shared" si="63"/>
        <v>403.0371310285891</v>
      </c>
      <c r="AX63">
        <f t="shared" si="64"/>
        <v>67.611622962437991</v>
      </c>
      <c r="AY63">
        <f t="shared" si="65"/>
        <v>124.54074073444446</v>
      </c>
      <c r="AZ63">
        <f t="shared" si="66"/>
        <v>20.274033650807144</v>
      </c>
      <c r="BA63">
        <f t="shared" si="67"/>
        <v>2423.3131321441583</v>
      </c>
      <c r="BB63">
        <f t="shared" si="68"/>
        <v>8.968988561465876</v>
      </c>
      <c r="BC63">
        <f t="shared" si="69"/>
        <v>8595.3102071469748</v>
      </c>
      <c r="BD63">
        <f t="shared" si="70"/>
        <v>244.70976097706045</v>
      </c>
      <c r="BE63">
        <f t="shared" si="71"/>
        <v>4030.371310285891</v>
      </c>
      <c r="BF63">
        <f t="shared" si="72"/>
        <v>67.611622962437991</v>
      </c>
      <c r="BG63">
        <f t="shared" si="73"/>
        <v>155.67592591805555</v>
      </c>
      <c r="BH63">
        <f t="shared" si="74"/>
        <v>25.34254206350893</v>
      </c>
      <c r="BI63">
        <f t="shared" si="75"/>
        <v>13127.990357915396</v>
      </c>
    </row>
    <row r="64" spans="1:61">
      <c r="A64">
        <v>67</v>
      </c>
      <c r="B64">
        <v>1</v>
      </c>
      <c r="C64">
        <v>76</v>
      </c>
      <c r="D64" t="s">
        <v>134</v>
      </c>
      <c r="E64" t="s">
        <v>135</v>
      </c>
      <c r="F64">
        <v>8.968988561465876</v>
      </c>
      <c r="G64">
        <v>18905.040378724589</v>
      </c>
      <c r="H64">
        <v>159.64444087115331</v>
      </c>
      <c r="I64">
        <v>544.79288435009232</v>
      </c>
      <c r="J64">
        <v>15.525430884991781</v>
      </c>
      <c r="K64">
        <v>155.67592591805555</v>
      </c>
      <c r="L64">
        <v>489.24843945068665</v>
      </c>
      <c r="M64">
        <f t="shared" si="41"/>
        <v>20278.896488761031</v>
      </c>
      <c r="N64">
        <f t="shared" si="42"/>
        <v>3.1391459965130566</v>
      </c>
      <c r="O64">
        <f t="shared" si="43"/>
        <v>3781.0080757449177</v>
      </c>
      <c r="P64">
        <f t="shared" si="44"/>
        <v>55.875554304903652</v>
      </c>
      <c r="Q64">
        <f t="shared" si="45"/>
        <v>54.479288435009238</v>
      </c>
      <c r="R64">
        <f t="shared" si="46"/>
        <v>15.525430884991781</v>
      </c>
      <c r="S64">
        <f t="shared" si="47"/>
        <v>124.54074073444446</v>
      </c>
      <c r="T64">
        <f t="shared" si="48"/>
        <v>391.39875156054933</v>
      </c>
      <c r="U64">
        <f t="shared" si="49"/>
        <v>4425.9669876613289</v>
      </c>
      <c r="V64">
        <f t="shared" si="50"/>
        <v>0.8968988561465876</v>
      </c>
      <c r="W64">
        <f t="shared" si="51"/>
        <v>1890.5040378724589</v>
      </c>
      <c r="X64">
        <f t="shared" si="52"/>
        <v>15.964444087115332</v>
      </c>
      <c r="Y64">
        <f t="shared" si="53"/>
        <v>54.479288435009238</v>
      </c>
      <c r="Z64">
        <f t="shared" si="54"/>
        <v>15.525430884991781</v>
      </c>
      <c r="AA64">
        <f t="shared" si="55"/>
        <v>15.567592591805557</v>
      </c>
      <c r="AB64">
        <f t="shared" si="56"/>
        <v>48.924843945068666</v>
      </c>
      <c r="AC64">
        <f t="shared" si="57"/>
        <v>2041.862536672596</v>
      </c>
      <c r="AD64" s="92">
        <v>4.1903234055768408</v>
      </c>
      <c r="AE64" s="92">
        <v>1128.8485342501863</v>
      </c>
      <c r="AF64" s="92">
        <v>41.384176057747723</v>
      </c>
      <c r="AG64">
        <f>Tableau4[[#This Row],[KUVC rest. à emporter / traiteur]]</f>
        <v>544.79288435009232</v>
      </c>
      <c r="AH64">
        <v>15.525430884991781</v>
      </c>
      <c r="AI64">
        <v>203.52999398516084</v>
      </c>
      <c r="AJ64">
        <v>3.3283140192867471</v>
      </c>
      <c r="AK64">
        <f t="shared" si="58"/>
        <v>1941.5996569530425</v>
      </c>
      <c r="AL64" s="92">
        <f>Tableau4[[#This Row],[KUVC Miel Conso]]*BC$94</f>
        <v>1.4666131919518941</v>
      </c>
      <c r="AM64" s="92">
        <f>Tableau4[[#This Row],[KUVC ind. Lait.  Conso]]*BD$94</f>
        <v>225.76970685003727</v>
      </c>
      <c r="AN64" s="92">
        <f>Tableau4[[#This Row],[KUVC fermiers   Conso]]*BE$94</f>
        <v>14.484461620211702</v>
      </c>
      <c r="AO64" s="92">
        <f>Tableau4[[#This Row],[KUVC rest. à emporter  Conso]]*BF$94</f>
        <v>54.479288435009238</v>
      </c>
      <c r="AP64" s="92">
        <f>Tableau4[[#This Row],[KUVC portage domicile  Conso]]*BG$94</f>
        <v>15.525430884991781</v>
      </c>
      <c r="AQ64" s="92">
        <f>Tableau4[[#This Row],[KUVC bière  Conso]]*BH$94</f>
        <v>162.82399518812869</v>
      </c>
      <c r="AR64" s="92">
        <f>Tableau4[[#This Row],[KUVC cidricole  Conso]]*BI$94</f>
        <v>2.6626512154293978</v>
      </c>
      <c r="AS64">
        <f t="shared" si="59"/>
        <v>477.21214738575998</v>
      </c>
      <c r="AT64">
        <f t="shared" si="60"/>
        <v>1.4666131919518941</v>
      </c>
      <c r="AU64">
        <f t="shared" si="61"/>
        <v>225.76970685003727</v>
      </c>
      <c r="AV64">
        <f t="shared" si="62"/>
        <v>14.484461620211702</v>
      </c>
      <c r="AW64">
        <f t="shared" si="63"/>
        <v>54.479288435009238</v>
      </c>
      <c r="AX64">
        <f t="shared" si="64"/>
        <v>15.525430884991781</v>
      </c>
      <c r="AY64">
        <f t="shared" si="65"/>
        <v>124.54074073444446</v>
      </c>
      <c r="AZ64">
        <f t="shared" si="66"/>
        <v>2.6626512154293978</v>
      </c>
      <c r="BA64">
        <f t="shared" si="67"/>
        <v>438.92889293207571</v>
      </c>
      <c r="BB64">
        <f t="shared" si="68"/>
        <v>4.1903234055768408</v>
      </c>
      <c r="BC64">
        <f t="shared" si="69"/>
        <v>1128.8485342501863</v>
      </c>
      <c r="BD64">
        <f t="shared" si="70"/>
        <v>41.384176057747723</v>
      </c>
      <c r="BE64">
        <f t="shared" si="71"/>
        <v>544.79288435009232</v>
      </c>
      <c r="BF64">
        <f t="shared" si="72"/>
        <v>15.525430884991781</v>
      </c>
      <c r="BG64">
        <f t="shared" si="73"/>
        <v>155.67592591805555</v>
      </c>
      <c r="BH64">
        <f t="shared" si="74"/>
        <v>3.3283140192867471</v>
      </c>
      <c r="BI64">
        <f t="shared" si="75"/>
        <v>1893.7455888859372</v>
      </c>
    </row>
    <row r="65" spans="1:76">
      <c r="A65">
        <v>70</v>
      </c>
      <c r="B65">
        <v>1</v>
      </c>
      <c r="C65">
        <v>76</v>
      </c>
      <c r="D65" t="s">
        <v>140</v>
      </c>
      <c r="E65" t="s">
        <v>141</v>
      </c>
      <c r="F65">
        <v>8.968988561465876</v>
      </c>
      <c r="G65">
        <v>18905.040378724589</v>
      </c>
      <c r="H65">
        <v>372.01096561024929</v>
      </c>
      <c r="I65">
        <v>3051.7214292816125</v>
      </c>
      <c r="J65">
        <v>50.756216354780832</v>
      </c>
      <c r="K65">
        <v>155.67592591805555</v>
      </c>
      <c r="L65">
        <v>489.24843945068665</v>
      </c>
      <c r="M65">
        <f t="shared" si="41"/>
        <v>23033.422343901439</v>
      </c>
      <c r="N65">
        <f t="shared" si="42"/>
        <v>3.1391459965130566</v>
      </c>
      <c r="O65">
        <f t="shared" si="43"/>
        <v>3781.0080757449177</v>
      </c>
      <c r="P65">
        <f t="shared" si="44"/>
        <v>130.20383796358723</v>
      </c>
      <c r="Q65">
        <f t="shared" si="45"/>
        <v>305.17214292816124</v>
      </c>
      <c r="R65">
        <f t="shared" si="46"/>
        <v>50.756216354780832</v>
      </c>
      <c r="S65">
        <f t="shared" si="47"/>
        <v>124.54074073444446</v>
      </c>
      <c r="T65">
        <f t="shared" si="48"/>
        <v>391.39875156054933</v>
      </c>
      <c r="U65">
        <f t="shared" si="49"/>
        <v>4786.2189112829547</v>
      </c>
      <c r="V65">
        <f t="shared" si="50"/>
        <v>0.8968988561465876</v>
      </c>
      <c r="W65">
        <f t="shared" si="51"/>
        <v>1890.5040378724589</v>
      </c>
      <c r="X65">
        <f t="shared" si="52"/>
        <v>37.201096561024933</v>
      </c>
      <c r="Y65">
        <f t="shared" si="53"/>
        <v>305.17214292816124</v>
      </c>
      <c r="Z65">
        <f t="shared" si="54"/>
        <v>50.756216354780832</v>
      </c>
      <c r="AA65">
        <f t="shared" si="55"/>
        <v>15.567592591805557</v>
      </c>
      <c r="AB65">
        <f t="shared" si="56"/>
        <v>48.924843945068666</v>
      </c>
      <c r="AC65">
        <f t="shared" si="57"/>
        <v>2349.0228291094463</v>
      </c>
      <c r="AD65" s="92">
        <v>25.981368364243391</v>
      </c>
      <c r="AE65" s="92">
        <v>6999.2281638111117</v>
      </c>
      <c r="AF65" s="92">
        <v>256.59535518811123</v>
      </c>
      <c r="AG65">
        <f>Tableau4[[#This Row],[KUVC rest. à emporter / traiteur]]</f>
        <v>3051.7214292816125</v>
      </c>
      <c r="AH65">
        <v>50.756216354780832</v>
      </c>
      <c r="AI65">
        <v>1261.9521776918216</v>
      </c>
      <c r="AJ65">
        <v>20.636629729313317</v>
      </c>
      <c r="AK65">
        <f t="shared" si="58"/>
        <v>11666.871340420994</v>
      </c>
      <c r="AL65" s="92">
        <f>Tableau4[[#This Row],[KUVC Miel Conso]]*BC$94</f>
        <v>9.0934789274851866</v>
      </c>
      <c r="AM65" s="92">
        <f>Tableau4[[#This Row],[KUVC ind. Lait.  Conso]]*BD$94</f>
        <v>1399.8456327622225</v>
      </c>
      <c r="AN65" s="92">
        <f>Tableau4[[#This Row],[KUVC fermiers   Conso]]*BE$94</f>
        <v>89.808374315838918</v>
      </c>
      <c r="AO65" s="92">
        <f>Tableau4[[#This Row],[KUVC rest. à emporter  Conso]]*BF$94</f>
        <v>305.17214292816124</v>
      </c>
      <c r="AP65" s="92">
        <f>Tableau4[[#This Row],[KUVC portage domicile  Conso]]*BG$94</f>
        <v>50.756216354780832</v>
      </c>
      <c r="AQ65" s="92">
        <f>Tableau4[[#This Row],[KUVC bière  Conso]]*BH$94</f>
        <v>1009.5617421534573</v>
      </c>
      <c r="AR65" s="92">
        <f>Tableau4[[#This Row],[KUVC cidricole  Conso]]*BI$94</f>
        <v>16.509303783450655</v>
      </c>
      <c r="AS65">
        <f t="shared" si="59"/>
        <v>2880.7468912253967</v>
      </c>
      <c r="AT65">
        <f t="shared" si="60"/>
        <v>3.1391459965130566</v>
      </c>
      <c r="AU65">
        <f t="shared" si="61"/>
        <v>1399.8456327622225</v>
      </c>
      <c r="AV65">
        <f t="shared" si="62"/>
        <v>89.808374315838918</v>
      </c>
      <c r="AW65">
        <f t="shared" si="63"/>
        <v>305.17214292816124</v>
      </c>
      <c r="AX65">
        <f t="shared" si="64"/>
        <v>50.756216354780832</v>
      </c>
      <c r="AY65">
        <f t="shared" si="65"/>
        <v>124.54074073444446</v>
      </c>
      <c r="AZ65">
        <f t="shared" si="66"/>
        <v>16.509303783450655</v>
      </c>
      <c r="BA65">
        <f t="shared" si="67"/>
        <v>1989.7715568754115</v>
      </c>
      <c r="BB65">
        <f t="shared" si="68"/>
        <v>8.968988561465876</v>
      </c>
      <c r="BC65">
        <f t="shared" si="69"/>
        <v>6999.2281638111117</v>
      </c>
      <c r="BD65">
        <f t="shared" si="70"/>
        <v>256.59535518811123</v>
      </c>
      <c r="BE65">
        <f t="shared" si="71"/>
        <v>3051.7214292816125</v>
      </c>
      <c r="BF65">
        <f t="shared" si="72"/>
        <v>50.756216354780832</v>
      </c>
      <c r="BG65">
        <f t="shared" si="73"/>
        <v>155.67592591805555</v>
      </c>
      <c r="BH65">
        <f t="shared" si="74"/>
        <v>20.636629729313317</v>
      </c>
      <c r="BI65">
        <f t="shared" si="75"/>
        <v>10543.582708844451</v>
      </c>
    </row>
    <row r="66" spans="1:76">
      <c r="A66">
        <v>71</v>
      </c>
      <c r="B66">
        <v>1</v>
      </c>
      <c r="C66">
        <v>76</v>
      </c>
      <c r="D66" t="s">
        <v>142</v>
      </c>
      <c r="E66" t="s">
        <v>143</v>
      </c>
      <c r="F66">
        <v>8.968988561465876</v>
      </c>
      <c r="G66">
        <v>18905.040378724589</v>
      </c>
      <c r="H66">
        <v>272.03301860249479</v>
      </c>
      <c r="I66">
        <v>12947.943421601929</v>
      </c>
      <c r="J66">
        <v>157.23570125307236</v>
      </c>
      <c r="K66">
        <v>155.67592591805555</v>
      </c>
      <c r="L66">
        <v>489.24843945068665</v>
      </c>
      <c r="M66">
        <f t="shared" si="41"/>
        <v>32936.145874112291</v>
      </c>
      <c r="N66">
        <f t="shared" si="42"/>
        <v>3.1391459965130566</v>
      </c>
      <c r="O66">
        <f t="shared" si="43"/>
        <v>3781.0080757449177</v>
      </c>
      <c r="P66">
        <f t="shared" si="44"/>
        <v>95.211556510873166</v>
      </c>
      <c r="Q66">
        <f t="shared" si="45"/>
        <v>1294.7943421601931</v>
      </c>
      <c r="R66">
        <f t="shared" si="46"/>
        <v>157.23570125307236</v>
      </c>
      <c r="S66">
        <f t="shared" si="47"/>
        <v>124.54074073444446</v>
      </c>
      <c r="T66">
        <f t="shared" si="48"/>
        <v>391.39875156054933</v>
      </c>
      <c r="U66">
        <f t="shared" si="49"/>
        <v>5847.3283139605628</v>
      </c>
      <c r="V66">
        <f t="shared" si="50"/>
        <v>0.8968988561465876</v>
      </c>
      <c r="W66">
        <f t="shared" si="51"/>
        <v>1890.5040378724589</v>
      </c>
      <c r="X66">
        <f t="shared" si="52"/>
        <v>27.203301860249482</v>
      </c>
      <c r="Y66">
        <f t="shared" si="53"/>
        <v>1294.7943421601931</v>
      </c>
      <c r="Z66">
        <f t="shared" si="54"/>
        <v>157.23570125307236</v>
      </c>
      <c r="AA66">
        <f t="shared" si="55"/>
        <v>15.567592591805557</v>
      </c>
      <c r="AB66">
        <f t="shared" si="56"/>
        <v>48.924843945068666</v>
      </c>
      <c r="AC66">
        <f t="shared" si="57"/>
        <v>3435.1267185389943</v>
      </c>
      <c r="AD66" s="92">
        <v>47.694176103173263</v>
      </c>
      <c r="AE66" s="92">
        <v>12848.531145515688</v>
      </c>
      <c r="AF66" s="92">
        <v>471.03385341476644</v>
      </c>
      <c r="AG66">
        <f>Tableau4[[#This Row],[KUVC rest. à emporter / traiteur]]</f>
        <v>12947.943421601929</v>
      </c>
      <c r="AH66">
        <v>157.23570125307236</v>
      </c>
      <c r="AI66">
        <v>2316.5742678684155</v>
      </c>
      <c r="AJ66">
        <v>37.882802733377616</v>
      </c>
      <c r="AK66">
        <f t="shared" si="58"/>
        <v>28826.895368490423</v>
      </c>
      <c r="AL66" s="92">
        <f>Tableau4[[#This Row],[KUVC Miel Conso]]*BC$94</f>
        <v>16.692961636110642</v>
      </c>
      <c r="AM66" s="92">
        <f>Tableau4[[#This Row],[KUVC ind. Lait.  Conso]]*BD$94</f>
        <v>2569.706229103138</v>
      </c>
      <c r="AN66" s="92">
        <f>Tableau4[[#This Row],[KUVC fermiers   Conso]]*BE$94</f>
        <v>164.86184869516825</v>
      </c>
      <c r="AO66" s="92">
        <f>Tableau4[[#This Row],[KUVC rest. à emporter  Conso]]*BF$94</f>
        <v>1294.7943421601931</v>
      </c>
      <c r="AP66" s="92">
        <f>Tableau4[[#This Row],[KUVC portage domicile  Conso]]*BG$94</f>
        <v>157.23570125307236</v>
      </c>
      <c r="AQ66" s="92">
        <f>Tableau4[[#This Row],[KUVC bière  Conso]]*BH$94</f>
        <v>1853.2594142947326</v>
      </c>
      <c r="AR66" s="92">
        <f>Tableau4[[#This Row],[KUVC cidricole  Conso]]*BI$94</f>
        <v>30.306242186702093</v>
      </c>
      <c r="AS66">
        <f t="shared" si="59"/>
        <v>6086.8567393291178</v>
      </c>
      <c r="AT66">
        <f t="shared" si="60"/>
        <v>3.1391459965130566</v>
      </c>
      <c r="AU66">
        <f t="shared" si="61"/>
        <v>2569.706229103138</v>
      </c>
      <c r="AV66">
        <f t="shared" si="62"/>
        <v>95.211556510873166</v>
      </c>
      <c r="AW66">
        <f t="shared" si="63"/>
        <v>1294.7943421601931</v>
      </c>
      <c r="AX66">
        <f t="shared" si="64"/>
        <v>157.23570125307236</v>
      </c>
      <c r="AY66">
        <f t="shared" si="65"/>
        <v>124.54074073444446</v>
      </c>
      <c r="AZ66">
        <f t="shared" si="66"/>
        <v>30.306242186702093</v>
      </c>
      <c r="BA66">
        <f t="shared" si="67"/>
        <v>4274.933957944937</v>
      </c>
      <c r="BB66">
        <f t="shared" si="68"/>
        <v>8.968988561465876</v>
      </c>
      <c r="BC66">
        <f t="shared" si="69"/>
        <v>12848.531145515688</v>
      </c>
      <c r="BD66">
        <f t="shared" si="70"/>
        <v>272.03301860249479</v>
      </c>
      <c r="BE66">
        <f t="shared" si="71"/>
        <v>12947.943421601929</v>
      </c>
      <c r="BF66">
        <f t="shared" si="72"/>
        <v>157.23570125307236</v>
      </c>
      <c r="BG66">
        <f t="shared" si="73"/>
        <v>155.67592591805555</v>
      </c>
      <c r="BH66">
        <f t="shared" si="74"/>
        <v>37.882802733377616</v>
      </c>
      <c r="BI66">
        <f t="shared" si="75"/>
        <v>26428.271004186085</v>
      </c>
    </row>
    <row r="67" spans="1:76">
      <c r="A67">
        <v>1</v>
      </c>
      <c r="B67">
        <v>2</v>
      </c>
      <c r="C67">
        <v>76</v>
      </c>
      <c r="D67" t="s">
        <v>2</v>
      </c>
      <c r="E67" t="s">
        <v>3</v>
      </c>
      <c r="F67">
        <v>20.180224263298221</v>
      </c>
      <c r="G67">
        <v>42536.340852130321</v>
      </c>
      <c r="H67">
        <v>843.63795718270046</v>
      </c>
      <c r="I67">
        <v>12775.232409433271</v>
      </c>
      <c r="J67">
        <v>179.03101768777236</v>
      </c>
      <c r="K67">
        <v>72.114583329687491</v>
      </c>
      <c r="L67">
        <v>224.65489566613161</v>
      </c>
      <c r="M67">
        <f t="shared" si="41"/>
        <v>56651.191939693184</v>
      </c>
      <c r="N67">
        <f t="shared" si="42"/>
        <v>7.0630784921543768</v>
      </c>
      <c r="O67">
        <f t="shared" si="43"/>
        <v>8507.2681704260649</v>
      </c>
      <c r="P67">
        <f t="shared" si="44"/>
        <v>295.27328501394516</v>
      </c>
      <c r="Q67">
        <f t="shared" si="45"/>
        <v>1277.5232409433272</v>
      </c>
      <c r="R67">
        <f t="shared" si="46"/>
        <v>179.03101768777236</v>
      </c>
      <c r="S67">
        <f t="shared" si="47"/>
        <v>57.691666663749999</v>
      </c>
      <c r="T67">
        <f t="shared" si="48"/>
        <v>179.72391653290529</v>
      </c>
      <c r="U67">
        <f t="shared" si="49"/>
        <v>10503.574375759918</v>
      </c>
      <c r="V67">
        <f t="shared" si="50"/>
        <v>2.0180224263298223</v>
      </c>
      <c r="W67">
        <f t="shared" si="51"/>
        <v>4253.6340852130324</v>
      </c>
      <c r="X67">
        <f t="shared" si="52"/>
        <v>84.363795718270055</v>
      </c>
      <c r="Y67">
        <f t="shared" si="53"/>
        <v>1277.5232409433272</v>
      </c>
      <c r="Z67">
        <f t="shared" si="54"/>
        <v>179.03101768777236</v>
      </c>
      <c r="AA67">
        <f t="shared" si="55"/>
        <v>7.2114583329687498</v>
      </c>
      <c r="AB67">
        <f t="shared" si="56"/>
        <v>22.465489566613162</v>
      </c>
      <c r="AC67">
        <f t="shared" si="57"/>
        <v>5826.2471098883134</v>
      </c>
      <c r="AD67" s="92">
        <v>98.573483392473918</v>
      </c>
      <c r="AE67" s="92">
        <v>26555.11794040422</v>
      </c>
      <c r="AF67" s="92">
        <v>973.52447448576902</v>
      </c>
      <c r="AG67">
        <f>Tableau4[[#This Row],[KUVC rest. à emporter / traiteur]]</f>
        <v>12775.232409433271</v>
      </c>
      <c r="AH67">
        <v>179.03101768777236</v>
      </c>
      <c r="AI67">
        <v>4787.854907634447</v>
      </c>
      <c r="AJ67">
        <v>78.295509666022141</v>
      </c>
      <c r="AK67">
        <f t="shared" si="58"/>
        <v>45447.629742703983</v>
      </c>
      <c r="AL67" s="92">
        <f>Tableau4[[#This Row],[KUVC Miel Conso]]*BC$94</f>
        <v>34.500719187365867</v>
      </c>
      <c r="AM67" s="92">
        <f>Tableau4[[#This Row],[KUVC ind. Lait.  Conso]]*BD$94</f>
        <v>5311.0235880808441</v>
      </c>
      <c r="AN67" s="92">
        <f>Tableau4[[#This Row],[KUVC fermiers   Conso]]*BE$94</f>
        <v>340.73356607001915</v>
      </c>
      <c r="AO67" s="92">
        <f>Tableau4[[#This Row],[KUVC rest. à emporter  Conso]]*BF$94</f>
        <v>1277.5232409433272</v>
      </c>
      <c r="AP67" s="92">
        <f>Tableau4[[#This Row],[KUVC portage domicile  Conso]]*BG$94</f>
        <v>179.03101768777236</v>
      </c>
      <c r="AQ67" s="92">
        <f>Tableau4[[#This Row],[KUVC bière  Conso]]*BH$94</f>
        <v>3830.2839261075578</v>
      </c>
      <c r="AR67" s="92">
        <f>Tableau4[[#This Row],[KUVC cidricole  Conso]]*BI$94</f>
        <v>62.636407732817716</v>
      </c>
      <c r="AS67">
        <f t="shared" si="59"/>
        <v>11035.732465809704</v>
      </c>
      <c r="AT67">
        <f t="shared" si="60"/>
        <v>7.0630784921543768</v>
      </c>
      <c r="AU67">
        <f t="shared" si="61"/>
        <v>5311.0235880808441</v>
      </c>
      <c r="AV67">
        <f t="shared" si="62"/>
        <v>295.27328501394516</v>
      </c>
      <c r="AW67">
        <f t="shared" si="63"/>
        <v>1277.5232409433272</v>
      </c>
      <c r="AX67">
        <f t="shared" si="64"/>
        <v>179.03101768777236</v>
      </c>
      <c r="AY67">
        <f t="shared" si="65"/>
        <v>57.691666663749999</v>
      </c>
      <c r="AZ67">
        <f t="shared" si="66"/>
        <v>62.636407732817716</v>
      </c>
      <c r="BA67">
        <f t="shared" si="67"/>
        <v>7190.242284614611</v>
      </c>
      <c r="BB67">
        <f t="shared" si="68"/>
        <v>20.180224263298221</v>
      </c>
      <c r="BC67">
        <f t="shared" si="69"/>
        <v>26555.11794040422</v>
      </c>
      <c r="BD67">
        <f t="shared" si="70"/>
        <v>843.63795718270046</v>
      </c>
      <c r="BE67">
        <f t="shared" si="71"/>
        <v>12775.232409433271</v>
      </c>
      <c r="BF67">
        <f t="shared" si="72"/>
        <v>179.03101768777236</v>
      </c>
      <c r="BG67">
        <f t="shared" si="73"/>
        <v>72.114583329687491</v>
      </c>
      <c r="BH67">
        <f t="shared" si="74"/>
        <v>78.295509666022141</v>
      </c>
      <c r="BI67">
        <f t="shared" si="75"/>
        <v>40523.609641966978</v>
      </c>
      <c r="BR67" s="5"/>
      <c r="BS67" s="5"/>
      <c r="BT67" s="5"/>
      <c r="BU67" s="5"/>
      <c r="BV67" s="5"/>
      <c r="BW67" s="5"/>
      <c r="BX67" s="5"/>
    </row>
    <row r="68" spans="1:76">
      <c r="A68">
        <v>41</v>
      </c>
      <c r="B68">
        <v>2</v>
      </c>
      <c r="C68">
        <v>76</v>
      </c>
      <c r="D68" t="s">
        <v>82</v>
      </c>
      <c r="E68" t="s">
        <v>83</v>
      </c>
      <c r="F68">
        <v>20.180224263298221</v>
      </c>
      <c r="G68">
        <v>42536.340852130321</v>
      </c>
      <c r="H68">
        <v>654.32284732503661</v>
      </c>
      <c r="I68">
        <v>7305.4594026430568</v>
      </c>
      <c r="J68">
        <v>112.39651974606814</v>
      </c>
      <c r="K68">
        <v>72.114583329687491</v>
      </c>
      <c r="L68">
        <v>224.65489566613161</v>
      </c>
      <c r="M68">
        <f t="shared" si="41"/>
        <v>50925.469325103601</v>
      </c>
      <c r="N68">
        <f t="shared" si="42"/>
        <v>7.0630784921543768</v>
      </c>
      <c r="O68">
        <f t="shared" si="43"/>
        <v>8507.2681704260649</v>
      </c>
      <c r="P68">
        <f t="shared" si="44"/>
        <v>229.01299656376278</v>
      </c>
      <c r="Q68">
        <f t="shared" si="45"/>
        <v>730.54594026430573</v>
      </c>
      <c r="R68">
        <f t="shared" si="46"/>
        <v>112.39651974606814</v>
      </c>
      <c r="S68">
        <f t="shared" si="47"/>
        <v>57.691666663749999</v>
      </c>
      <c r="T68">
        <f t="shared" si="48"/>
        <v>179.72391653290529</v>
      </c>
      <c r="U68">
        <f t="shared" si="49"/>
        <v>9823.7022886890099</v>
      </c>
      <c r="V68">
        <f t="shared" si="50"/>
        <v>2.0180224263298223</v>
      </c>
      <c r="W68">
        <f t="shared" si="51"/>
        <v>4253.6340852130324</v>
      </c>
      <c r="X68">
        <f t="shared" si="52"/>
        <v>65.432284732503661</v>
      </c>
      <c r="Y68">
        <f t="shared" si="53"/>
        <v>730.54594026430573</v>
      </c>
      <c r="Z68">
        <f t="shared" si="54"/>
        <v>112.39651974606814</v>
      </c>
      <c r="AA68">
        <f t="shared" si="55"/>
        <v>7.2114583329687498</v>
      </c>
      <c r="AB68">
        <f t="shared" si="56"/>
        <v>22.465489566613162</v>
      </c>
      <c r="AC68">
        <f t="shared" si="57"/>
        <v>5193.7038002818217</v>
      </c>
      <c r="AD68" s="92">
        <v>53.661797149139773</v>
      </c>
      <c r="AE68" s="92">
        <v>14456.1732338887</v>
      </c>
      <c r="AF68" s="92">
        <v>529.97085089890254</v>
      </c>
      <c r="AG68">
        <f>Tableau4[[#This Row],[KUVC rest. à emporter / traiteur]]</f>
        <v>7305.4594026430568</v>
      </c>
      <c r="AH68">
        <v>112.39651974606814</v>
      </c>
      <c r="AI68">
        <v>2606.4301472439315</v>
      </c>
      <c r="AJ68">
        <v>42.622798878459584</v>
      </c>
      <c r="AK68">
        <f t="shared" si="58"/>
        <v>25106.71475044826</v>
      </c>
      <c r="AL68" s="92">
        <f>Tableau4[[#This Row],[KUVC Miel Conso]]*BC$94</f>
        <v>18.781629002198919</v>
      </c>
      <c r="AM68" s="92">
        <f>Tableau4[[#This Row],[KUVC ind. Lait.  Conso]]*BD$94</f>
        <v>2891.2346467777402</v>
      </c>
      <c r="AN68" s="92">
        <f>Tableau4[[#This Row],[KUVC fermiers   Conso]]*BE$94</f>
        <v>185.48979781461588</v>
      </c>
      <c r="AO68" s="92">
        <f>Tableau4[[#This Row],[KUVC rest. à emporter  Conso]]*BF$94</f>
        <v>730.54594026430573</v>
      </c>
      <c r="AP68" s="92">
        <f>Tableau4[[#This Row],[KUVC portage domicile  Conso]]*BG$94</f>
        <v>112.39651974606814</v>
      </c>
      <c r="AQ68" s="92">
        <f>Tableau4[[#This Row],[KUVC bière  Conso]]*BH$94</f>
        <v>2085.1441177951451</v>
      </c>
      <c r="AR68" s="92">
        <f>Tableau4[[#This Row],[KUVC cidricole  Conso]]*BI$94</f>
        <v>34.098239102767671</v>
      </c>
      <c r="AS68">
        <f t="shared" si="59"/>
        <v>6057.6908905028413</v>
      </c>
      <c r="AT68">
        <f t="shared" si="60"/>
        <v>7.0630784921543768</v>
      </c>
      <c r="AU68">
        <f t="shared" si="61"/>
        <v>2891.2346467777402</v>
      </c>
      <c r="AV68">
        <f t="shared" si="62"/>
        <v>185.48979781461588</v>
      </c>
      <c r="AW68">
        <f t="shared" si="63"/>
        <v>730.54594026430573</v>
      </c>
      <c r="AX68">
        <f t="shared" si="64"/>
        <v>112.39651974606814</v>
      </c>
      <c r="AY68">
        <f t="shared" si="65"/>
        <v>57.691666663749999</v>
      </c>
      <c r="AZ68">
        <f t="shared" si="66"/>
        <v>34.098239102767671</v>
      </c>
      <c r="BA68">
        <f t="shared" si="67"/>
        <v>4018.5198888614023</v>
      </c>
      <c r="BB68">
        <f t="shared" si="68"/>
        <v>20.180224263298221</v>
      </c>
      <c r="BC68">
        <f t="shared" si="69"/>
        <v>14456.1732338887</v>
      </c>
      <c r="BD68">
        <f t="shared" si="70"/>
        <v>529.97085089890254</v>
      </c>
      <c r="BE68">
        <f t="shared" si="71"/>
        <v>7305.4594026430568</v>
      </c>
      <c r="BF68">
        <f t="shared" si="72"/>
        <v>112.39651974606814</v>
      </c>
      <c r="BG68">
        <f t="shared" si="73"/>
        <v>72.114583329687491</v>
      </c>
      <c r="BH68">
        <f t="shared" si="74"/>
        <v>42.622798878459584</v>
      </c>
      <c r="BI68">
        <f t="shared" si="75"/>
        <v>22538.917613648169</v>
      </c>
    </row>
    <row r="69" spans="1:76">
      <c r="A69">
        <v>54</v>
      </c>
      <c r="B69">
        <v>2</v>
      </c>
      <c r="C69">
        <v>76</v>
      </c>
      <c r="D69" t="s">
        <v>108</v>
      </c>
      <c r="E69" t="s">
        <v>109</v>
      </c>
      <c r="F69">
        <v>20.180224263298221</v>
      </c>
      <c r="G69">
        <v>42536.340852130321</v>
      </c>
      <c r="H69">
        <v>1004.789359872296</v>
      </c>
      <c r="I69">
        <v>101176.43524201395</v>
      </c>
      <c r="J69">
        <v>681.81612557866003</v>
      </c>
      <c r="K69">
        <v>72.114583329687491</v>
      </c>
      <c r="L69">
        <v>224.65489566613161</v>
      </c>
      <c r="M69">
        <f t="shared" ref="M69:M100" si="76">SUM(F69:L69)</f>
        <v>145716.33128285434</v>
      </c>
      <c r="N69">
        <f t="shared" ref="N69:N75" si="77">F69*BC$94</f>
        <v>7.0630784921543768</v>
      </c>
      <c r="O69">
        <f t="shared" ref="O69:O75" si="78">G69*BD$94</f>
        <v>8507.2681704260649</v>
      </c>
      <c r="P69">
        <f t="shared" ref="P69:P75" si="79">H69*BE$94</f>
        <v>351.67627595530359</v>
      </c>
      <c r="Q69">
        <f t="shared" ref="Q69:Q75" si="80">I69*BF$94</f>
        <v>10117.643524201396</v>
      </c>
      <c r="R69">
        <f t="shared" ref="R69:R75" si="81">J69*BG$94</f>
        <v>681.81612557866003</v>
      </c>
      <c r="S69">
        <f t="shared" ref="S69:S75" si="82">K69*BH$94</f>
        <v>57.691666663749999</v>
      </c>
      <c r="T69">
        <f t="shared" ref="T69:T75" si="83">L69*BI$94</f>
        <v>179.72391653290529</v>
      </c>
      <c r="U69">
        <f t="shared" ref="U69:U100" si="84">SUM(N69:T69)</f>
        <v>19902.882757850239</v>
      </c>
      <c r="V69">
        <f t="shared" ref="V69:V75" si="85">F69*0.1</f>
        <v>2.0180224263298223</v>
      </c>
      <c r="W69">
        <f t="shared" ref="W69:W75" si="86">G69*0.1</f>
        <v>4253.6340852130324</v>
      </c>
      <c r="X69">
        <f t="shared" ref="X69:X75" si="87">H69*0.1</f>
        <v>100.4789359872296</v>
      </c>
      <c r="Y69">
        <f t="shared" ref="Y69:Y75" si="88">I69*0.1</f>
        <v>10117.643524201396</v>
      </c>
      <c r="Z69">
        <f t="shared" ref="Z69:Z75" si="89">J69</f>
        <v>681.81612557866003</v>
      </c>
      <c r="AA69">
        <f t="shared" ref="AA69:AA75" si="90">K69*0.1</f>
        <v>7.2114583329687498</v>
      </c>
      <c r="AB69">
        <f t="shared" ref="AB69:AB75" si="91">L69*0.1</f>
        <v>22.465489566613162</v>
      </c>
      <c r="AC69">
        <f t="shared" ref="AC69:AC100" si="92">SUM(V69:AB69)</f>
        <v>15185.267641306229</v>
      </c>
      <c r="AD69" s="92">
        <v>254.6252576516423</v>
      </c>
      <c r="AE69" s="92">
        <v>68594.550124840374</v>
      </c>
      <c r="AF69" s="92">
        <v>2514.7119855667447</v>
      </c>
      <c r="AG69">
        <f>Tableau4[[#This Row],[KUVC rest. à emporter / traiteur]]</f>
        <v>101176.43524201395</v>
      </c>
      <c r="AH69">
        <v>681.81612557866003</v>
      </c>
      <c r="AI69">
        <v>12367.51251450834</v>
      </c>
      <c r="AJ69">
        <v>202.24520464901872</v>
      </c>
      <c r="AK69">
        <f t="shared" ref="AK69:AK100" si="93">SUM(AD69:AJ69)</f>
        <v>185791.89645480871</v>
      </c>
      <c r="AL69" s="92">
        <f>Tableau4[[#This Row],[KUVC Miel Conso]]*BC$94</f>
        <v>89.118840178074805</v>
      </c>
      <c r="AM69" s="92">
        <f>Tableau4[[#This Row],[KUVC ind. Lait.  Conso]]*BD$94</f>
        <v>13718.910024968076</v>
      </c>
      <c r="AN69" s="92">
        <f>Tableau4[[#This Row],[KUVC fermiers   Conso]]*BE$94</f>
        <v>880.14919494836056</v>
      </c>
      <c r="AO69" s="92">
        <f>Tableau4[[#This Row],[KUVC rest. à emporter  Conso]]*BF$94</f>
        <v>10117.643524201396</v>
      </c>
      <c r="AP69" s="92">
        <f>Tableau4[[#This Row],[KUVC portage domicile  Conso]]*BG$94</f>
        <v>681.81612557866003</v>
      </c>
      <c r="AQ69" s="92">
        <f>Tableau4[[#This Row],[KUVC bière  Conso]]*BH$94</f>
        <v>9894.0100116066733</v>
      </c>
      <c r="AR69" s="92">
        <f>Tableau4[[#This Row],[KUVC cidricole  Conso]]*BI$94</f>
        <v>161.79616371921497</v>
      </c>
      <c r="AS69">
        <f t="shared" ref="AS69:AS100" si="94">SUM(AL69:AR69)</f>
        <v>35543.443885200453</v>
      </c>
      <c r="AT69">
        <f t="shared" ref="AT69:AT75" si="95">MIN(AL69,N69)</f>
        <v>7.0630784921543768</v>
      </c>
      <c r="AU69">
        <f t="shared" ref="AU69:AU75" si="96">MIN(AM69,O69)</f>
        <v>8507.2681704260649</v>
      </c>
      <c r="AV69">
        <f t="shared" ref="AV69:AV75" si="97">MIN(AN69,P69)</f>
        <v>351.67627595530359</v>
      </c>
      <c r="AW69">
        <f t="shared" ref="AW69:AW75" si="98">MIN(AO69,Q69)</f>
        <v>10117.643524201396</v>
      </c>
      <c r="AX69">
        <f t="shared" ref="AX69:AX75" si="99">MIN(AP69,R69)</f>
        <v>681.81612557866003</v>
      </c>
      <c r="AY69">
        <f t="shared" ref="AY69:AY75" si="100">MIN(AQ69,S69)</f>
        <v>57.691666663749999</v>
      </c>
      <c r="AZ69">
        <f t="shared" ref="AZ69:AZ75" si="101">MIN(AR69,T69)</f>
        <v>161.79616371921497</v>
      </c>
      <c r="BA69">
        <f t="shared" ref="BA69:BA100" si="102">SUM(AT69:AZ69)</f>
        <v>19884.955005036551</v>
      </c>
      <c r="BB69">
        <f t="shared" ref="BB69:BB75" si="103">MIN(F69, AD69)</f>
        <v>20.180224263298221</v>
      </c>
      <c r="BC69">
        <f t="shared" ref="BC69:BC75" si="104">MIN(G69, AE69)</f>
        <v>42536.340852130321</v>
      </c>
      <c r="BD69">
        <f t="shared" ref="BD69:BD75" si="105">MIN(H69, AF69)</f>
        <v>1004.789359872296</v>
      </c>
      <c r="BE69">
        <f t="shared" ref="BE69:BE75" si="106">MIN(I69, AG69)</f>
        <v>101176.43524201395</v>
      </c>
      <c r="BF69">
        <f t="shared" ref="BF69:BF75" si="107">MIN(J69, AH69)</f>
        <v>681.81612557866003</v>
      </c>
      <c r="BG69">
        <f t="shared" ref="BG69:BG75" si="108">MIN(K69, AI69)</f>
        <v>72.114583329687491</v>
      </c>
      <c r="BH69">
        <f t="shared" ref="BH69:BH75" si="109">MIN(L69, AJ69)</f>
        <v>202.24520464901872</v>
      </c>
      <c r="BI69">
        <f t="shared" ref="BI69:BI100" si="110">SUM(BB69:BH69)</f>
        <v>145693.92159183722</v>
      </c>
    </row>
    <row r="70" spans="1:76">
      <c r="A70">
        <v>65</v>
      </c>
      <c r="B70">
        <v>2</v>
      </c>
      <c r="C70">
        <v>76</v>
      </c>
      <c r="D70" t="s">
        <v>130</v>
      </c>
      <c r="E70" t="s">
        <v>131</v>
      </c>
      <c r="F70">
        <v>20.180224263298221</v>
      </c>
      <c r="G70">
        <v>42536.340852130321</v>
      </c>
      <c r="H70">
        <v>264.77311072770289</v>
      </c>
      <c r="I70">
        <v>2205.3735173860027</v>
      </c>
      <c r="J70">
        <v>26.653799176681694</v>
      </c>
      <c r="K70">
        <v>72.114583329687491</v>
      </c>
      <c r="L70">
        <v>224.65489566613161</v>
      </c>
      <c r="M70">
        <f t="shared" si="76"/>
        <v>45350.090982679823</v>
      </c>
      <c r="N70">
        <f t="shared" si="77"/>
        <v>7.0630784921543768</v>
      </c>
      <c r="O70">
        <f t="shared" si="78"/>
        <v>8507.2681704260649</v>
      </c>
      <c r="P70">
        <f t="shared" si="79"/>
        <v>92.670588754695999</v>
      </c>
      <c r="Q70">
        <f t="shared" si="80"/>
        <v>220.53735173860028</v>
      </c>
      <c r="R70">
        <f t="shared" si="81"/>
        <v>26.653799176681694</v>
      </c>
      <c r="S70">
        <f t="shared" si="82"/>
        <v>57.691666663749999</v>
      </c>
      <c r="T70">
        <f t="shared" si="83"/>
        <v>179.72391653290529</v>
      </c>
      <c r="U70">
        <f t="shared" si="84"/>
        <v>9091.6085717848509</v>
      </c>
      <c r="V70">
        <f t="shared" si="85"/>
        <v>2.0180224263298223</v>
      </c>
      <c r="W70">
        <f t="shared" si="86"/>
        <v>4253.6340852130324</v>
      </c>
      <c r="X70">
        <f t="shared" si="87"/>
        <v>26.477311072770291</v>
      </c>
      <c r="Y70">
        <f t="shared" si="88"/>
        <v>220.53735173860028</v>
      </c>
      <c r="Z70">
        <f t="shared" si="89"/>
        <v>26.653799176681694</v>
      </c>
      <c r="AA70">
        <f t="shared" si="90"/>
        <v>7.2114583329687498</v>
      </c>
      <c r="AB70">
        <f t="shared" si="91"/>
        <v>22.465489566613162</v>
      </c>
      <c r="AC70">
        <f t="shared" si="92"/>
        <v>4558.9975175269965</v>
      </c>
      <c r="AD70" s="92">
        <v>20.596271471303204</v>
      </c>
      <c r="AE70" s="92">
        <v>5548.5146636787913</v>
      </c>
      <c r="AF70" s="92">
        <v>203.41144160070922</v>
      </c>
      <c r="AG70">
        <f>Tableau4[[#This Row],[KUVC rest. à emporter / traiteur]]</f>
        <v>2205.3735173860027</v>
      </c>
      <c r="AH70">
        <v>26.653799176681694</v>
      </c>
      <c r="AI70">
        <v>1000.3903286061555</v>
      </c>
      <c r="AJ70">
        <v>16.35932419720654</v>
      </c>
      <c r="AK70">
        <f t="shared" si="93"/>
        <v>9021.2993461168517</v>
      </c>
      <c r="AL70" s="92">
        <f>Tableau4[[#This Row],[KUVC Miel Conso]]*BC$94</f>
        <v>7.2086950149561213</v>
      </c>
      <c r="AM70" s="92">
        <f>Tableau4[[#This Row],[KUVC ind. Lait.  Conso]]*BD$94</f>
        <v>1109.7029327357584</v>
      </c>
      <c r="AN70" s="92">
        <f>Tableau4[[#This Row],[KUVC fermiers   Conso]]*BE$94</f>
        <v>71.194004560248217</v>
      </c>
      <c r="AO70" s="92">
        <f>Tableau4[[#This Row],[KUVC rest. à emporter  Conso]]*BF$94</f>
        <v>220.53735173860028</v>
      </c>
      <c r="AP70" s="92">
        <f>Tableau4[[#This Row],[KUVC portage domicile  Conso]]*BG$94</f>
        <v>26.653799176681694</v>
      </c>
      <c r="AQ70" s="92">
        <f>Tableau4[[#This Row],[KUVC bière  Conso]]*BH$94</f>
        <v>800.31226288492451</v>
      </c>
      <c r="AR70" s="92">
        <f>Tableau4[[#This Row],[KUVC cidricole  Conso]]*BI$94</f>
        <v>13.087459357765233</v>
      </c>
      <c r="AS70">
        <f t="shared" si="94"/>
        <v>2248.6965054689344</v>
      </c>
      <c r="AT70">
        <f t="shared" si="95"/>
        <v>7.0630784921543768</v>
      </c>
      <c r="AU70">
        <f t="shared" si="96"/>
        <v>1109.7029327357584</v>
      </c>
      <c r="AV70">
        <f t="shared" si="97"/>
        <v>71.194004560248217</v>
      </c>
      <c r="AW70">
        <f t="shared" si="98"/>
        <v>220.53735173860028</v>
      </c>
      <c r="AX70">
        <f t="shared" si="99"/>
        <v>26.653799176681694</v>
      </c>
      <c r="AY70">
        <f t="shared" si="100"/>
        <v>57.691666663749999</v>
      </c>
      <c r="AZ70">
        <f t="shared" si="101"/>
        <v>13.087459357765233</v>
      </c>
      <c r="BA70">
        <f t="shared" si="102"/>
        <v>1505.9302927249585</v>
      </c>
      <c r="BB70">
        <f t="shared" si="103"/>
        <v>20.180224263298221</v>
      </c>
      <c r="BC70">
        <f t="shared" si="104"/>
        <v>5548.5146636787913</v>
      </c>
      <c r="BD70">
        <f t="shared" si="105"/>
        <v>203.41144160070922</v>
      </c>
      <c r="BE70">
        <f t="shared" si="106"/>
        <v>2205.3735173860027</v>
      </c>
      <c r="BF70">
        <f t="shared" si="107"/>
        <v>26.653799176681694</v>
      </c>
      <c r="BG70">
        <f t="shared" si="108"/>
        <v>72.114583329687491</v>
      </c>
      <c r="BH70">
        <f t="shared" si="109"/>
        <v>16.35932419720654</v>
      </c>
      <c r="BI70">
        <f t="shared" si="110"/>
        <v>8092.6075536323779</v>
      </c>
    </row>
    <row r="71" spans="1:76">
      <c r="A71">
        <v>2</v>
      </c>
      <c r="B71">
        <v>3</v>
      </c>
      <c r="C71">
        <v>76</v>
      </c>
      <c r="D71" t="s">
        <v>4</v>
      </c>
      <c r="E71" t="s">
        <v>5</v>
      </c>
      <c r="F71">
        <v>16.144179410638579</v>
      </c>
      <c r="G71">
        <v>17014.53634085213</v>
      </c>
      <c r="H71">
        <v>1462.2868769774639</v>
      </c>
      <c r="I71">
        <v>246390.19262687294</v>
      </c>
      <c r="J71">
        <v>1193.4496433795257</v>
      </c>
      <c r="K71">
        <v>164.83333332499998</v>
      </c>
      <c r="L71">
        <v>431.3373996789727</v>
      </c>
      <c r="M71">
        <f t="shared" si="76"/>
        <v>266672.78040049667</v>
      </c>
      <c r="N71">
        <f t="shared" si="77"/>
        <v>5.6504627937235021</v>
      </c>
      <c r="O71">
        <f t="shared" si="78"/>
        <v>3402.9072681704261</v>
      </c>
      <c r="P71">
        <f t="shared" si="79"/>
        <v>511.80040694211232</v>
      </c>
      <c r="Q71">
        <f t="shared" si="80"/>
        <v>24639.019262687296</v>
      </c>
      <c r="R71">
        <f t="shared" si="81"/>
        <v>1193.4496433795257</v>
      </c>
      <c r="S71">
        <f t="shared" si="82"/>
        <v>131.86666665999999</v>
      </c>
      <c r="T71">
        <f t="shared" si="83"/>
        <v>345.06991974317816</v>
      </c>
      <c r="U71">
        <f t="shared" si="84"/>
        <v>30229.763630376259</v>
      </c>
      <c r="V71">
        <f t="shared" si="85"/>
        <v>1.6144179410638579</v>
      </c>
      <c r="W71">
        <f t="shared" si="86"/>
        <v>1701.453634085213</v>
      </c>
      <c r="X71">
        <f t="shared" si="87"/>
        <v>146.22868769774638</v>
      </c>
      <c r="Y71">
        <f t="shared" si="88"/>
        <v>24639.019262687296</v>
      </c>
      <c r="Z71">
        <f t="shared" si="89"/>
        <v>1193.4496433795257</v>
      </c>
      <c r="AA71">
        <f t="shared" si="90"/>
        <v>16.483333332499999</v>
      </c>
      <c r="AB71">
        <f t="shared" si="91"/>
        <v>43.13373996789727</v>
      </c>
      <c r="AC71">
        <f t="shared" si="92"/>
        <v>27741.382719091242</v>
      </c>
      <c r="AD71" s="92">
        <v>455.39452515800042</v>
      </c>
      <c r="AE71" s="92">
        <v>122680.61256226625</v>
      </c>
      <c r="AF71" s="92">
        <v>4497.5352450818182</v>
      </c>
      <c r="AG71">
        <f>Tableau4[[#This Row],[KUVC rest. à emporter / traiteur]]</f>
        <v>246390.19262687294</v>
      </c>
      <c r="AH71">
        <v>1193.4496433795257</v>
      </c>
      <c r="AI71">
        <v>22119.162650531449</v>
      </c>
      <c r="AJ71">
        <v>361.71336569692602</v>
      </c>
      <c r="AK71">
        <f t="shared" si="93"/>
        <v>397698.06061898696</v>
      </c>
      <c r="AL71" s="92">
        <f>Tableau4[[#This Row],[KUVC Miel Conso]]*BC$94</f>
        <v>159.38808380530014</v>
      </c>
      <c r="AM71" s="92">
        <f>Tableau4[[#This Row],[KUVC ind. Lait.  Conso]]*BD$94</f>
        <v>24536.12251245325</v>
      </c>
      <c r="AN71" s="92">
        <f>Tableau4[[#This Row],[KUVC fermiers   Conso]]*BE$94</f>
        <v>1574.1373357786363</v>
      </c>
      <c r="AO71" s="92">
        <f>Tableau4[[#This Row],[KUVC rest. à emporter  Conso]]*BF$94</f>
        <v>24639.019262687296</v>
      </c>
      <c r="AP71" s="92">
        <f>Tableau4[[#This Row],[KUVC portage domicile  Conso]]*BG$94</f>
        <v>1193.4496433795257</v>
      </c>
      <c r="AQ71" s="92">
        <f>Tableau4[[#This Row],[KUVC bière  Conso]]*BH$94</f>
        <v>17695.330120425158</v>
      </c>
      <c r="AR71" s="92">
        <f>Tableau4[[#This Row],[KUVC cidricole  Conso]]*BI$94</f>
        <v>289.37069255754085</v>
      </c>
      <c r="AS71">
        <f t="shared" si="94"/>
        <v>70086.817651086705</v>
      </c>
      <c r="AT71">
        <f t="shared" si="95"/>
        <v>5.6504627937235021</v>
      </c>
      <c r="AU71">
        <f t="shared" si="96"/>
        <v>3402.9072681704261</v>
      </c>
      <c r="AV71">
        <f t="shared" si="97"/>
        <v>511.80040694211232</v>
      </c>
      <c r="AW71">
        <f t="shared" si="98"/>
        <v>24639.019262687296</v>
      </c>
      <c r="AX71">
        <f t="shared" si="99"/>
        <v>1193.4496433795257</v>
      </c>
      <c r="AY71">
        <f t="shared" si="100"/>
        <v>131.86666665999999</v>
      </c>
      <c r="AZ71">
        <f t="shared" si="101"/>
        <v>289.37069255754085</v>
      </c>
      <c r="BA71">
        <f t="shared" si="102"/>
        <v>30174.064403190623</v>
      </c>
      <c r="BB71">
        <f t="shared" si="103"/>
        <v>16.144179410638579</v>
      </c>
      <c r="BC71">
        <f t="shared" si="104"/>
        <v>17014.53634085213</v>
      </c>
      <c r="BD71">
        <f t="shared" si="105"/>
        <v>1462.2868769774639</v>
      </c>
      <c r="BE71">
        <f t="shared" si="106"/>
        <v>246390.19262687294</v>
      </c>
      <c r="BF71">
        <f t="shared" si="107"/>
        <v>1193.4496433795257</v>
      </c>
      <c r="BG71">
        <f t="shared" si="108"/>
        <v>164.83333332499998</v>
      </c>
      <c r="BH71">
        <f t="shared" si="109"/>
        <v>361.71336569692602</v>
      </c>
      <c r="BI71">
        <f t="shared" si="110"/>
        <v>266603.15636651468</v>
      </c>
      <c r="BR71" s="5"/>
      <c r="BS71" s="5"/>
      <c r="BT71" s="5"/>
      <c r="BU71" s="108"/>
      <c r="BV71" s="5"/>
      <c r="BW71" s="5"/>
      <c r="BX71" s="5"/>
    </row>
    <row r="72" spans="1:76">
      <c r="A72">
        <v>43</v>
      </c>
      <c r="B72">
        <v>3</v>
      </c>
      <c r="C72">
        <v>76</v>
      </c>
      <c r="D72" t="s">
        <v>86</v>
      </c>
      <c r="E72" t="s">
        <v>87</v>
      </c>
      <c r="F72">
        <v>16.144179410638579</v>
      </c>
      <c r="G72">
        <v>17014.53634085213</v>
      </c>
      <c r="H72">
        <v>307.0206499181387</v>
      </c>
      <c r="I72">
        <v>2878.6929620644069</v>
      </c>
      <c r="J72">
        <v>42.070660614925274</v>
      </c>
      <c r="K72">
        <v>164.83333332499998</v>
      </c>
      <c r="L72">
        <v>431.3373996789727</v>
      </c>
      <c r="M72">
        <f t="shared" si="76"/>
        <v>20854.635525864218</v>
      </c>
      <c r="N72">
        <f t="shared" si="77"/>
        <v>5.6504627937235021</v>
      </c>
      <c r="O72">
        <f t="shared" si="78"/>
        <v>3402.9072681704261</v>
      </c>
      <c r="P72">
        <f t="shared" si="79"/>
        <v>107.45722747134855</v>
      </c>
      <c r="Q72">
        <f t="shared" si="80"/>
        <v>287.86929620644071</v>
      </c>
      <c r="R72">
        <f t="shared" si="81"/>
        <v>42.070660614925274</v>
      </c>
      <c r="S72">
        <f t="shared" si="82"/>
        <v>131.86666665999999</v>
      </c>
      <c r="T72">
        <f t="shared" si="83"/>
        <v>345.06991974317816</v>
      </c>
      <c r="U72">
        <f t="shared" si="84"/>
        <v>4322.8915016600422</v>
      </c>
      <c r="V72">
        <f t="shared" si="85"/>
        <v>1.6144179410638579</v>
      </c>
      <c r="W72">
        <f t="shared" si="86"/>
        <v>1701.453634085213</v>
      </c>
      <c r="X72">
        <f t="shared" si="87"/>
        <v>30.70206499181387</v>
      </c>
      <c r="Y72">
        <f t="shared" si="88"/>
        <v>287.86929620644071</v>
      </c>
      <c r="Z72">
        <f t="shared" si="89"/>
        <v>42.070660614925274</v>
      </c>
      <c r="AA72">
        <f t="shared" si="90"/>
        <v>16.483333332499999</v>
      </c>
      <c r="AB72">
        <f t="shared" si="91"/>
        <v>43.13373996789727</v>
      </c>
      <c r="AC72">
        <f t="shared" si="92"/>
        <v>2123.3271471398539</v>
      </c>
      <c r="AD72" s="92">
        <v>23.612943565024288</v>
      </c>
      <c r="AE72" s="92">
        <v>6361.1884221715927</v>
      </c>
      <c r="AF72" s="92">
        <v>233.20448546670218</v>
      </c>
      <c r="AG72">
        <f>Tableau4[[#This Row],[KUVC rest. à emporter / traiteur]]</f>
        <v>2878.6929620644069</v>
      </c>
      <c r="AH72">
        <v>42.070660614925274</v>
      </c>
      <c r="AI72">
        <v>1146.9144017297513</v>
      </c>
      <c r="AJ72">
        <v>18.755423745933577</v>
      </c>
      <c r="AK72">
        <f t="shared" si="93"/>
        <v>10704.439299358335</v>
      </c>
      <c r="AL72" s="92">
        <f>Tableau4[[#This Row],[KUVC Miel Conso]]*BC$94</f>
        <v>8.2645302477585005</v>
      </c>
      <c r="AM72" s="92">
        <f>Tableau4[[#This Row],[KUVC ind. Lait.  Conso]]*BD$94</f>
        <v>1272.2376844343187</v>
      </c>
      <c r="AN72" s="92">
        <f>Tableau4[[#This Row],[KUVC fermiers   Conso]]*BE$94</f>
        <v>81.621569913345752</v>
      </c>
      <c r="AO72" s="92">
        <f>Tableau4[[#This Row],[KUVC rest. à emporter  Conso]]*BF$94</f>
        <v>287.86929620644071</v>
      </c>
      <c r="AP72" s="92">
        <f>Tableau4[[#This Row],[KUVC portage domicile  Conso]]*BG$94</f>
        <v>42.070660614925274</v>
      </c>
      <c r="AQ72" s="92">
        <f>Tableau4[[#This Row],[KUVC bière  Conso]]*BH$94</f>
        <v>917.53152138380108</v>
      </c>
      <c r="AR72" s="92">
        <f>Tableau4[[#This Row],[KUVC cidricole  Conso]]*BI$94</f>
        <v>15.004338996746862</v>
      </c>
      <c r="AS72">
        <f t="shared" si="94"/>
        <v>2624.5996017973366</v>
      </c>
      <c r="AT72">
        <f t="shared" si="95"/>
        <v>5.6504627937235021</v>
      </c>
      <c r="AU72">
        <f t="shared" si="96"/>
        <v>1272.2376844343187</v>
      </c>
      <c r="AV72">
        <f t="shared" si="97"/>
        <v>81.621569913345752</v>
      </c>
      <c r="AW72">
        <f t="shared" si="98"/>
        <v>287.86929620644071</v>
      </c>
      <c r="AX72">
        <f t="shared" si="99"/>
        <v>42.070660614925274</v>
      </c>
      <c r="AY72">
        <f t="shared" si="100"/>
        <v>131.86666665999999</v>
      </c>
      <c r="AZ72">
        <f t="shared" si="101"/>
        <v>15.004338996746862</v>
      </c>
      <c r="BA72">
        <f t="shared" si="102"/>
        <v>1836.3206796195009</v>
      </c>
      <c r="BB72">
        <f t="shared" si="103"/>
        <v>16.144179410638579</v>
      </c>
      <c r="BC72">
        <f t="shared" si="104"/>
        <v>6361.1884221715927</v>
      </c>
      <c r="BD72">
        <f t="shared" si="105"/>
        <v>233.20448546670218</v>
      </c>
      <c r="BE72">
        <f t="shared" si="106"/>
        <v>2878.6929620644069</v>
      </c>
      <c r="BF72">
        <f t="shared" si="107"/>
        <v>42.070660614925274</v>
      </c>
      <c r="BG72">
        <f t="shared" si="108"/>
        <v>164.83333332499998</v>
      </c>
      <c r="BH72">
        <f t="shared" si="109"/>
        <v>18.755423745933577</v>
      </c>
      <c r="BI72">
        <f t="shared" si="110"/>
        <v>9714.8894667991972</v>
      </c>
    </row>
    <row r="73" spans="1:76">
      <c r="A73">
        <v>46</v>
      </c>
      <c r="B73">
        <v>3</v>
      </c>
      <c r="C73">
        <v>76</v>
      </c>
      <c r="D73" t="s">
        <v>92</v>
      </c>
      <c r="E73" t="s">
        <v>93</v>
      </c>
      <c r="F73">
        <v>16.144179410638579</v>
      </c>
      <c r="G73">
        <v>17014.53634085213</v>
      </c>
      <c r="H73">
        <v>840.72014579137465</v>
      </c>
      <c r="I73">
        <v>8099.8437216988459</v>
      </c>
      <c r="J73">
        <v>118.23212750878356</v>
      </c>
      <c r="K73">
        <v>164.83333332499998</v>
      </c>
      <c r="L73">
        <v>431.3373996789727</v>
      </c>
      <c r="M73">
        <f t="shared" si="76"/>
        <v>26685.647248265752</v>
      </c>
      <c r="N73">
        <f t="shared" si="77"/>
        <v>5.6504627937235021</v>
      </c>
      <c r="O73">
        <f t="shared" si="78"/>
        <v>3402.9072681704261</v>
      </c>
      <c r="P73">
        <f t="shared" si="79"/>
        <v>294.25205102698112</v>
      </c>
      <c r="Q73">
        <f t="shared" si="80"/>
        <v>809.98437216988464</v>
      </c>
      <c r="R73">
        <f t="shared" si="81"/>
        <v>118.23212750878356</v>
      </c>
      <c r="S73">
        <f t="shared" si="82"/>
        <v>131.86666665999999</v>
      </c>
      <c r="T73">
        <f t="shared" si="83"/>
        <v>345.06991974317816</v>
      </c>
      <c r="U73">
        <f t="shared" si="84"/>
        <v>5107.9628680729766</v>
      </c>
      <c r="V73">
        <f t="shared" si="85"/>
        <v>1.6144179410638579</v>
      </c>
      <c r="W73">
        <f t="shared" si="86"/>
        <v>1701.453634085213</v>
      </c>
      <c r="X73">
        <f t="shared" si="87"/>
        <v>84.072014579137473</v>
      </c>
      <c r="Y73">
        <f t="shared" si="88"/>
        <v>809.98437216988464</v>
      </c>
      <c r="Z73">
        <f t="shared" si="89"/>
        <v>118.23212750878356</v>
      </c>
      <c r="AA73">
        <f t="shared" si="90"/>
        <v>16.483333332499999</v>
      </c>
      <c r="AB73">
        <f t="shared" si="91"/>
        <v>43.13373996789727</v>
      </c>
      <c r="AC73">
        <f t="shared" si="92"/>
        <v>2774.9736395844798</v>
      </c>
      <c r="AD73" s="92">
        <v>47.77612453946729</v>
      </c>
      <c r="AE73" s="92">
        <v>12870.607573333047</v>
      </c>
      <c r="AF73" s="92">
        <v>471.84318677331709</v>
      </c>
      <c r="AG73">
        <f>Tableau4[[#This Row],[KUVC rest. à emporter / traiteur]]</f>
        <v>8099.8437216988459</v>
      </c>
      <c r="AH73">
        <v>118.23212750878356</v>
      </c>
      <c r="AI73">
        <v>2320.5546204884108</v>
      </c>
      <c r="AJ73">
        <v>37.94789320563401</v>
      </c>
      <c r="AK73">
        <f t="shared" si="93"/>
        <v>23966.805247547509</v>
      </c>
      <c r="AL73" s="92">
        <f>Tableau4[[#This Row],[KUVC Miel Conso]]*BC$94</f>
        <v>16.721643588813549</v>
      </c>
      <c r="AM73" s="92">
        <f>Tableau4[[#This Row],[KUVC ind. Lait.  Conso]]*BD$94</f>
        <v>2574.1215146666095</v>
      </c>
      <c r="AN73" s="92">
        <f>Tableau4[[#This Row],[KUVC fermiers   Conso]]*BE$94</f>
        <v>165.14511537066096</v>
      </c>
      <c r="AO73" s="92">
        <f>Tableau4[[#This Row],[KUVC rest. à emporter  Conso]]*BF$94</f>
        <v>809.98437216988464</v>
      </c>
      <c r="AP73" s="92">
        <f>Tableau4[[#This Row],[KUVC portage domicile  Conso]]*BG$94</f>
        <v>118.23212750878356</v>
      </c>
      <c r="AQ73" s="92">
        <f>Tableau4[[#This Row],[KUVC bière  Conso]]*BH$94</f>
        <v>1856.4436963907287</v>
      </c>
      <c r="AR73" s="92">
        <f>Tableau4[[#This Row],[KUVC cidricole  Conso]]*BI$94</f>
        <v>30.358314564507211</v>
      </c>
      <c r="AS73">
        <f t="shared" si="94"/>
        <v>5571.0067842599883</v>
      </c>
      <c r="AT73">
        <f t="shared" si="95"/>
        <v>5.6504627937235021</v>
      </c>
      <c r="AU73">
        <f t="shared" si="96"/>
        <v>2574.1215146666095</v>
      </c>
      <c r="AV73">
        <f t="shared" si="97"/>
        <v>165.14511537066096</v>
      </c>
      <c r="AW73">
        <f t="shared" si="98"/>
        <v>809.98437216988464</v>
      </c>
      <c r="AX73">
        <f t="shared" si="99"/>
        <v>118.23212750878356</v>
      </c>
      <c r="AY73">
        <f t="shared" si="100"/>
        <v>131.86666665999999</v>
      </c>
      <c r="AZ73">
        <f t="shared" si="101"/>
        <v>30.358314564507211</v>
      </c>
      <c r="BA73">
        <f t="shared" si="102"/>
        <v>3835.3585737341691</v>
      </c>
      <c r="BB73">
        <f t="shared" si="103"/>
        <v>16.144179410638579</v>
      </c>
      <c r="BC73">
        <f t="shared" si="104"/>
        <v>12870.607573333047</v>
      </c>
      <c r="BD73">
        <f t="shared" si="105"/>
        <v>471.84318677331709</v>
      </c>
      <c r="BE73">
        <f t="shared" si="106"/>
        <v>8099.8437216988459</v>
      </c>
      <c r="BF73">
        <f t="shared" si="107"/>
        <v>118.23212750878356</v>
      </c>
      <c r="BG73">
        <f t="shared" si="108"/>
        <v>164.83333332499998</v>
      </c>
      <c r="BH73">
        <f t="shared" si="109"/>
        <v>37.94789320563401</v>
      </c>
      <c r="BI73">
        <f t="shared" si="110"/>
        <v>21779.452015255269</v>
      </c>
    </row>
    <row r="74" spans="1:76">
      <c r="A74">
        <v>68</v>
      </c>
      <c r="B74">
        <v>3</v>
      </c>
      <c r="C74">
        <v>76</v>
      </c>
      <c r="D74" t="s">
        <v>136</v>
      </c>
      <c r="E74" t="s">
        <v>137</v>
      </c>
      <c r="F74">
        <v>16.144179410638579</v>
      </c>
      <c r="G74">
        <v>17014.53634085213</v>
      </c>
      <c r="H74">
        <v>350.5350367153676</v>
      </c>
      <c r="I74">
        <v>4538.6541507619977</v>
      </c>
      <c r="J74">
        <v>68.805886876668126</v>
      </c>
      <c r="K74">
        <v>164.83333332499998</v>
      </c>
      <c r="L74">
        <v>431.3373996789727</v>
      </c>
      <c r="M74">
        <f t="shared" si="76"/>
        <v>22584.846327620777</v>
      </c>
      <c r="N74">
        <f t="shared" si="77"/>
        <v>5.6504627937235021</v>
      </c>
      <c r="O74">
        <f t="shared" si="78"/>
        <v>3402.9072681704261</v>
      </c>
      <c r="P74">
        <f t="shared" si="79"/>
        <v>122.68726285037864</v>
      </c>
      <c r="Q74">
        <f t="shared" si="80"/>
        <v>453.86541507619978</v>
      </c>
      <c r="R74">
        <f t="shared" si="81"/>
        <v>68.805886876668126</v>
      </c>
      <c r="S74">
        <f t="shared" si="82"/>
        <v>131.86666665999999</v>
      </c>
      <c r="T74">
        <f t="shared" si="83"/>
        <v>345.06991974317816</v>
      </c>
      <c r="U74">
        <f t="shared" si="84"/>
        <v>4530.852882170575</v>
      </c>
      <c r="V74">
        <f t="shared" si="85"/>
        <v>1.6144179410638579</v>
      </c>
      <c r="W74">
        <f t="shared" si="86"/>
        <v>1701.453634085213</v>
      </c>
      <c r="X74">
        <f t="shared" si="87"/>
        <v>35.05350367153676</v>
      </c>
      <c r="Y74">
        <f t="shared" si="88"/>
        <v>453.86541507619978</v>
      </c>
      <c r="Z74">
        <f t="shared" si="89"/>
        <v>68.805886876668126</v>
      </c>
      <c r="AA74">
        <f t="shared" si="90"/>
        <v>16.483333332499999</v>
      </c>
      <c r="AB74">
        <f t="shared" si="91"/>
        <v>43.13373996789727</v>
      </c>
      <c r="AC74">
        <f t="shared" si="92"/>
        <v>2320.4099309510789</v>
      </c>
      <c r="AD74" s="92">
        <v>31.562067507670488</v>
      </c>
      <c r="AE74" s="92">
        <v>8502.6357623188269</v>
      </c>
      <c r="AF74" s="92">
        <v>311.7110619064847</v>
      </c>
      <c r="AG74">
        <f>Tableau4[[#This Row],[KUVC rest. à emporter / traiteur]]</f>
        <v>4538.6541507619977</v>
      </c>
      <c r="AH74">
        <v>68.805886876668126</v>
      </c>
      <c r="AI74">
        <v>1533.0147075154237</v>
      </c>
      <c r="AJ74">
        <v>25.069299334663985</v>
      </c>
      <c r="AK74">
        <f t="shared" si="93"/>
        <v>15011.452936221733</v>
      </c>
      <c r="AL74" s="92">
        <f>Tableau4[[#This Row],[KUVC Miel Conso]]*BC$94</f>
        <v>11.046723627684671</v>
      </c>
      <c r="AM74" s="92">
        <f>Tableau4[[#This Row],[KUVC ind. Lait.  Conso]]*BD$94</f>
        <v>1700.5271524637656</v>
      </c>
      <c r="AN74" s="92">
        <f>Tableau4[[#This Row],[KUVC fermiers   Conso]]*BE$94</f>
        <v>109.09887166726963</v>
      </c>
      <c r="AO74" s="92">
        <f>Tableau4[[#This Row],[KUVC rest. à emporter  Conso]]*BF$94</f>
        <v>453.86541507619978</v>
      </c>
      <c r="AP74" s="92">
        <f>Tableau4[[#This Row],[KUVC portage domicile  Conso]]*BG$94</f>
        <v>68.805886876668126</v>
      </c>
      <c r="AQ74" s="92">
        <f>Tableau4[[#This Row],[KUVC bière  Conso]]*BH$94</f>
        <v>1226.4117660123391</v>
      </c>
      <c r="AR74" s="92">
        <f>Tableau4[[#This Row],[KUVC cidricole  Conso]]*BI$94</f>
        <v>20.05543946773119</v>
      </c>
      <c r="AS74">
        <f t="shared" si="94"/>
        <v>3589.8112551916574</v>
      </c>
      <c r="AT74">
        <f t="shared" si="95"/>
        <v>5.6504627937235021</v>
      </c>
      <c r="AU74">
        <f t="shared" si="96"/>
        <v>1700.5271524637656</v>
      </c>
      <c r="AV74">
        <f t="shared" si="97"/>
        <v>109.09887166726963</v>
      </c>
      <c r="AW74">
        <f t="shared" si="98"/>
        <v>453.86541507619978</v>
      </c>
      <c r="AX74">
        <f t="shared" si="99"/>
        <v>68.805886876668126</v>
      </c>
      <c r="AY74">
        <f t="shared" si="100"/>
        <v>131.86666665999999</v>
      </c>
      <c r="AZ74">
        <f t="shared" si="101"/>
        <v>20.05543946773119</v>
      </c>
      <c r="BA74">
        <f t="shared" si="102"/>
        <v>2489.8698950053576</v>
      </c>
      <c r="BB74">
        <f t="shared" si="103"/>
        <v>16.144179410638579</v>
      </c>
      <c r="BC74">
        <f t="shared" si="104"/>
        <v>8502.6357623188269</v>
      </c>
      <c r="BD74">
        <f t="shared" si="105"/>
        <v>311.7110619064847</v>
      </c>
      <c r="BE74">
        <f t="shared" si="106"/>
        <v>4538.6541507619977</v>
      </c>
      <c r="BF74">
        <f t="shared" si="107"/>
        <v>68.805886876668126</v>
      </c>
      <c r="BG74">
        <f t="shared" si="108"/>
        <v>164.83333332499998</v>
      </c>
      <c r="BH74">
        <f t="shared" si="109"/>
        <v>25.069299334663985</v>
      </c>
      <c r="BI74">
        <f t="shared" si="110"/>
        <v>13627.85367393428</v>
      </c>
    </row>
    <row r="75" spans="1:76">
      <c r="A75">
        <v>69</v>
      </c>
      <c r="B75">
        <v>3</v>
      </c>
      <c r="C75">
        <v>76</v>
      </c>
      <c r="D75" t="s">
        <v>138</v>
      </c>
      <c r="E75" t="s">
        <v>139</v>
      </c>
      <c r="F75">
        <v>16.144179410638579</v>
      </c>
      <c r="G75">
        <v>17014.53634085213</v>
      </c>
      <c r="H75">
        <v>128.1371103768636</v>
      </c>
      <c r="I75">
        <v>6154.4751142627574</v>
      </c>
      <c r="J75">
        <v>54.936140054586296</v>
      </c>
      <c r="K75">
        <v>164.83333332499998</v>
      </c>
      <c r="L75">
        <v>431.3373996789727</v>
      </c>
      <c r="M75">
        <f t="shared" si="76"/>
        <v>23964.399617960953</v>
      </c>
      <c r="N75">
        <f t="shared" si="77"/>
        <v>5.6504627937235021</v>
      </c>
      <c r="O75">
        <f t="shared" si="78"/>
        <v>3402.9072681704261</v>
      </c>
      <c r="P75">
        <f t="shared" si="79"/>
        <v>44.847988631902261</v>
      </c>
      <c r="Q75">
        <f t="shared" si="80"/>
        <v>615.44751142627581</v>
      </c>
      <c r="R75">
        <f t="shared" si="81"/>
        <v>54.936140054586296</v>
      </c>
      <c r="S75">
        <f t="shared" si="82"/>
        <v>131.86666665999999</v>
      </c>
      <c r="T75">
        <f t="shared" si="83"/>
        <v>345.06991974317816</v>
      </c>
      <c r="U75">
        <f t="shared" si="84"/>
        <v>4600.7259574800919</v>
      </c>
      <c r="V75">
        <f t="shared" si="85"/>
        <v>1.6144179410638579</v>
      </c>
      <c r="W75">
        <f t="shared" si="86"/>
        <v>1701.453634085213</v>
      </c>
      <c r="X75">
        <f t="shared" si="87"/>
        <v>12.81371103768636</v>
      </c>
      <c r="Y75">
        <f t="shared" si="88"/>
        <v>615.44751142627581</v>
      </c>
      <c r="Z75">
        <f t="shared" si="89"/>
        <v>54.936140054586296</v>
      </c>
      <c r="AA75">
        <f t="shared" si="90"/>
        <v>16.483333332499999</v>
      </c>
      <c r="AB75">
        <f t="shared" si="91"/>
        <v>43.13373996789727</v>
      </c>
      <c r="AC75">
        <f t="shared" si="92"/>
        <v>2445.8824878452228</v>
      </c>
      <c r="AD75" s="92">
        <v>23.212149950369014</v>
      </c>
      <c r="AE75" s="92">
        <v>6253.2169744694183</v>
      </c>
      <c r="AF75" s="92">
        <v>229.24619587749288</v>
      </c>
      <c r="AG75">
        <f>Tableau4[[#This Row],[KUVC rest. à emporter / traiteur]]</f>
        <v>6154.4751142627574</v>
      </c>
      <c r="AH75">
        <v>54.936140054586296</v>
      </c>
      <c r="AI75">
        <v>1127.447283303638</v>
      </c>
      <c r="AJ75">
        <v>18.437079103435959</v>
      </c>
      <c r="AK75">
        <f t="shared" si="93"/>
        <v>13860.970937021697</v>
      </c>
      <c r="AL75" s="92">
        <f>Tableau4[[#This Row],[KUVC Miel Conso]]*BC$94</f>
        <v>8.1242524826291547</v>
      </c>
      <c r="AM75" s="92">
        <f>Tableau4[[#This Row],[KUVC ind. Lait.  Conso]]*BD$94</f>
        <v>1250.6433948938839</v>
      </c>
      <c r="AN75" s="92">
        <f>Tableau4[[#This Row],[KUVC fermiers   Conso]]*BE$94</f>
        <v>80.236168557122497</v>
      </c>
      <c r="AO75" s="92">
        <f>Tableau4[[#This Row],[KUVC rest. à emporter  Conso]]*BF$94</f>
        <v>615.44751142627581</v>
      </c>
      <c r="AP75" s="92">
        <f>Tableau4[[#This Row],[KUVC portage domicile  Conso]]*BG$94</f>
        <v>54.936140054586296</v>
      </c>
      <c r="AQ75" s="92">
        <f>Tableau4[[#This Row],[KUVC bière  Conso]]*BH$94</f>
        <v>901.95782664291039</v>
      </c>
      <c r="AR75" s="92">
        <f>Tableau4[[#This Row],[KUVC cidricole  Conso]]*BI$94</f>
        <v>14.749663282748768</v>
      </c>
      <c r="AS75">
        <f t="shared" si="94"/>
        <v>2926.0949573401567</v>
      </c>
      <c r="AT75">
        <f t="shared" si="95"/>
        <v>5.6504627937235021</v>
      </c>
      <c r="AU75">
        <f t="shared" si="96"/>
        <v>1250.6433948938839</v>
      </c>
      <c r="AV75">
        <f t="shared" si="97"/>
        <v>44.847988631902261</v>
      </c>
      <c r="AW75">
        <f t="shared" si="98"/>
        <v>615.44751142627581</v>
      </c>
      <c r="AX75">
        <f t="shared" si="99"/>
        <v>54.936140054586296</v>
      </c>
      <c r="AY75">
        <f t="shared" si="100"/>
        <v>131.86666665999999</v>
      </c>
      <c r="AZ75">
        <f t="shared" si="101"/>
        <v>14.749663282748768</v>
      </c>
      <c r="BA75">
        <f t="shared" si="102"/>
        <v>2118.1418277431208</v>
      </c>
      <c r="BB75">
        <f t="shared" si="103"/>
        <v>16.144179410638579</v>
      </c>
      <c r="BC75">
        <f t="shared" si="104"/>
        <v>6253.2169744694183</v>
      </c>
      <c r="BD75">
        <f t="shared" si="105"/>
        <v>128.1371103768636</v>
      </c>
      <c r="BE75">
        <f t="shared" si="106"/>
        <v>6154.4751142627574</v>
      </c>
      <c r="BF75">
        <f t="shared" si="107"/>
        <v>54.936140054586296</v>
      </c>
      <c r="BG75">
        <f t="shared" si="108"/>
        <v>164.83333332499998</v>
      </c>
      <c r="BH75">
        <f t="shared" si="109"/>
        <v>18.437079103435959</v>
      </c>
      <c r="BI75">
        <f t="shared" si="110"/>
        <v>12790.179931002698</v>
      </c>
    </row>
    <row r="76" spans="1:76">
      <c r="AL76" s="92"/>
    </row>
    <row r="77" spans="1:76">
      <c r="AL77" s="92"/>
    </row>
    <row r="78" spans="1:76">
      <c r="F78" s="135" t="s">
        <v>667</v>
      </c>
      <c r="G78" s="136"/>
      <c r="H78" s="136"/>
      <c r="I78" s="136"/>
      <c r="J78" s="136"/>
      <c r="K78" s="136"/>
      <c r="L78" s="136"/>
      <c r="M78" s="136"/>
      <c r="N78" s="136"/>
      <c r="O78" s="136"/>
      <c r="P78" s="136"/>
      <c r="Q78" s="136"/>
      <c r="R78" s="136"/>
      <c r="S78" s="136"/>
      <c r="T78" s="136"/>
      <c r="U78" s="136"/>
      <c r="V78" s="136"/>
      <c r="W78" s="136"/>
      <c r="X78" s="136"/>
      <c r="Y78" s="136"/>
      <c r="Z78" s="136"/>
      <c r="AA78" s="136"/>
      <c r="AB78" s="136"/>
      <c r="AC78" s="136"/>
      <c r="AD78" s="136"/>
      <c r="AE78" s="136"/>
      <c r="AF78" s="136"/>
      <c r="AG78" s="136"/>
      <c r="AH78" s="136"/>
      <c r="AI78" s="136"/>
      <c r="AJ78" s="136"/>
      <c r="AK78" s="136"/>
      <c r="AL78" s="136"/>
      <c r="AM78" s="136"/>
      <c r="AN78" s="136"/>
      <c r="AO78" s="136"/>
      <c r="AP78" s="136"/>
      <c r="AQ78" s="136"/>
      <c r="AR78" s="136"/>
      <c r="AS78" s="136"/>
      <c r="AT78" s="136"/>
      <c r="AU78" s="136"/>
      <c r="AV78" s="136"/>
      <c r="AW78" s="136"/>
      <c r="AX78" s="136"/>
      <c r="AY78" s="136"/>
      <c r="AZ78" s="136"/>
      <c r="BA78" s="136"/>
      <c r="BB78" s="136"/>
      <c r="BC78" s="136"/>
      <c r="BD78" s="136"/>
      <c r="BE78" s="136"/>
      <c r="BF78" s="136"/>
      <c r="BG78" s="136"/>
      <c r="BH78" s="136"/>
      <c r="BI78" s="137"/>
    </row>
    <row r="79" spans="1:76" ht="15.75" customHeight="1">
      <c r="F79" s="135" t="s">
        <v>644</v>
      </c>
      <c r="G79" s="136"/>
      <c r="H79" s="136"/>
      <c r="I79" s="136"/>
      <c r="J79" s="136"/>
      <c r="K79" s="136"/>
      <c r="L79" s="136"/>
      <c r="M79" s="137"/>
      <c r="N79" s="134" t="s">
        <v>804</v>
      </c>
      <c r="O79" s="134"/>
      <c r="P79" s="134"/>
      <c r="Q79" s="134"/>
      <c r="R79" s="134"/>
      <c r="S79" s="134"/>
      <c r="T79" s="134"/>
      <c r="U79" s="134"/>
      <c r="V79" s="134" t="s">
        <v>634</v>
      </c>
      <c r="W79" s="134"/>
      <c r="X79" s="134"/>
      <c r="Y79" s="134"/>
      <c r="Z79" s="134"/>
      <c r="AA79" s="134"/>
      <c r="AB79" s="134"/>
      <c r="AC79" s="134"/>
      <c r="AD79" s="132" t="s">
        <v>642</v>
      </c>
      <c r="AE79" s="133"/>
      <c r="AF79" s="133"/>
      <c r="AG79" s="133"/>
      <c r="AH79" s="133"/>
      <c r="AI79" s="133"/>
      <c r="AJ79" s="133"/>
      <c r="AK79" s="133"/>
      <c r="AL79" s="132" t="s">
        <v>641</v>
      </c>
      <c r="AM79" s="133"/>
      <c r="AN79" s="133"/>
      <c r="AO79" s="133"/>
      <c r="AP79" s="133"/>
      <c r="AQ79" s="133"/>
      <c r="AR79" s="133"/>
      <c r="AS79" s="133"/>
      <c r="AT79" s="134" t="s">
        <v>639</v>
      </c>
      <c r="AU79" s="134"/>
      <c r="AV79" s="134"/>
      <c r="AW79" s="134"/>
      <c r="AX79" s="134"/>
      <c r="AY79" s="134"/>
      <c r="AZ79" s="134"/>
      <c r="BA79" s="134"/>
      <c r="BB79" s="134" t="s">
        <v>640</v>
      </c>
      <c r="BC79" s="134"/>
      <c r="BD79" s="134"/>
      <c r="BE79" s="134"/>
      <c r="BF79" s="134"/>
      <c r="BG79" s="134"/>
      <c r="BH79" s="134"/>
      <c r="BI79" s="134"/>
    </row>
    <row r="80" spans="1:76" ht="30">
      <c r="F80" s="81" t="s">
        <v>358</v>
      </c>
      <c r="G80" s="81" t="s">
        <v>357</v>
      </c>
      <c r="H80" s="81" t="s">
        <v>356</v>
      </c>
      <c r="I80" s="81" t="s">
        <v>355</v>
      </c>
      <c r="J80" s="81" t="s">
        <v>354</v>
      </c>
      <c r="K80" s="81" t="s">
        <v>353</v>
      </c>
      <c r="L80" s="81" t="s">
        <v>352</v>
      </c>
      <c r="M80" s="81" t="s">
        <v>431</v>
      </c>
      <c r="N80" s="107" t="s">
        <v>806</v>
      </c>
      <c r="O80" s="107" t="s">
        <v>805</v>
      </c>
      <c r="P80" s="107" t="s">
        <v>807</v>
      </c>
      <c r="Q80" s="107" t="s">
        <v>808</v>
      </c>
      <c r="R80" s="107" t="s">
        <v>809</v>
      </c>
      <c r="S80" s="81" t="s">
        <v>810</v>
      </c>
      <c r="T80" s="81" t="s">
        <v>811</v>
      </c>
      <c r="U80" s="81" t="s">
        <v>812</v>
      </c>
      <c r="V80" s="107" t="s">
        <v>813</v>
      </c>
      <c r="W80" s="107" t="s">
        <v>814</v>
      </c>
      <c r="X80" s="107" t="s">
        <v>815</v>
      </c>
      <c r="Y80" s="107" t="s">
        <v>816</v>
      </c>
      <c r="Z80" s="107" t="s">
        <v>817</v>
      </c>
      <c r="AA80" s="81" t="s">
        <v>818</v>
      </c>
      <c r="AB80" s="81" t="s">
        <v>819</v>
      </c>
      <c r="AC80" s="81" t="s">
        <v>820</v>
      </c>
      <c r="AD80" s="81" t="s">
        <v>821</v>
      </c>
      <c r="AE80" s="81" t="s">
        <v>822</v>
      </c>
      <c r="AF80" s="81" t="s">
        <v>823</v>
      </c>
      <c r="AG80" s="81" t="s">
        <v>824</v>
      </c>
      <c r="AH80" s="81" t="s">
        <v>825</v>
      </c>
      <c r="AI80" s="81" t="s">
        <v>826</v>
      </c>
      <c r="AJ80" s="81" t="s">
        <v>827</v>
      </c>
      <c r="AK80" s="81" t="s">
        <v>828</v>
      </c>
      <c r="AL80" s="81" t="s">
        <v>829</v>
      </c>
      <c r="AM80" s="81" t="s">
        <v>830</v>
      </c>
      <c r="AN80" s="81" t="s">
        <v>831</v>
      </c>
      <c r="AO80" s="81" t="s">
        <v>832</v>
      </c>
      <c r="AP80" s="81" t="s">
        <v>833</v>
      </c>
      <c r="AQ80" s="81" t="s">
        <v>834</v>
      </c>
      <c r="AR80" s="81" t="s">
        <v>835</v>
      </c>
      <c r="AS80" s="81" t="s">
        <v>836</v>
      </c>
      <c r="AT80" s="81" t="s">
        <v>837</v>
      </c>
      <c r="AU80" s="81" t="s">
        <v>852</v>
      </c>
      <c r="AV80" s="81" t="s">
        <v>851</v>
      </c>
      <c r="AW80" s="81" t="s">
        <v>850</v>
      </c>
      <c r="AX80" s="81" t="s">
        <v>849</v>
      </c>
      <c r="AY80" s="81" t="s">
        <v>848</v>
      </c>
      <c r="AZ80" s="81" t="s">
        <v>847</v>
      </c>
      <c r="BA80" s="81" t="s">
        <v>846</v>
      </c>
      <c r="BB80" s="81" t="s">
        <v>845</v>
      </c>
      <c r="BC80" s="81" t="s">
        <v>844</v>
      </c>
      <c r="BD80" s="81" t="s">
        <v>843</v>
      </c>
      <c r="BE80" s="81" t="s">
        <v>842</v>
      </c>
      <c r="BF80" s="81" t="s">
        <v>841</v>
      </c>
      <c r="BG80" s="81" t="s">
        <v>840</v>
      </c>
      <c r="BH80" s="81" t="s">
        <v>839</v>
      </c>
      <c r="BI80" s="81" t="s">
        <v>838</v>
      </c>
    </row>
    <row r="81" spans="5:62">
      <c r="E81" s="125" t="s">
        <v>230</v>
      </c>
      <c r="F81" s="125">
        <f>SUM(F5:F75)</f>
        <v>1268.6548629219972</v>
      </c>
      <c r="G81" s="125">
        <f t="shared" ref="G81:BI81" si="111">SUM(G5:G75)</f>
        <v>2828666.666666666</v>
      </c>
      <c r="H81" s="125">
        <f t="shared" si="111"/>
        <v>43208.065995975834</v>
      </c>
      <c r="I81" s="125">
        <f t="shared" si="111"/>
        <v>828705.00000000012</v>
      </c>
      <c r="J81" s="125">
        <f t="shared" si="111"/>
        <v>8999.9999999999964</v>
      </c>
      <c r="K81" s="125">
        <f t="shared" si="111"/>
        <v>13845.999999299995</v>
      </c>
      <c r="L81" s="125">
        <f t="shared" si="111"/>
        <v>111968.00000000006</v>
      </c>
      <c r="M81" s="125">
        <f t="shared" si="111"/>
        <v>3836662.3875248651</v>
      </c>
      <c r="N81" s="125">
        <f t="shared" si="111"/>
        <v>444.02920202269854</v>
      </c>
      <c r="O81" s="125">
        <f t="shared" si="111"/>
        <v>565733.33333333302</v>
      </c>
      <c r="P81" s="125">
        <f t="shared" si="111"/>
        <v>15122.823098591545</v>
      </c>
      <c r="Q81" s="125">
        <f t="shared" si="111"/>
        <v>82870.499999999971</v>
      </c>
      <c r="R81" s="125">
        <f t="shared" si="111"/>
        <v>8999.9999999999964</v>
      </c>
      <c r="S81" s="125">
        <f t="shared" si="111"/>
        <v>11076.799999439989</v>
      </c>
      <c r="T81" s="125">
        <f t="shared" si="111"/>
        <v>89574.400000000081</v>
      </c>
      <c r="U81" s="125">
        <f t="shared" si="111"/>
        <v>773821.8856333876</v>
      </c>
      <c r="V81" s="125">
        <f t="shared" si="111"/>
        <v>126.86548629219965</v>
      </c>
      <c r="W81" s="125">
        <f t="shared" si="111"/>
        <v>282866.66666666651</v>
      </c>
      <c r="X81" s="125">
        <f t="shared" si="111"/>
        <v>4320.806599597584</v>
      </c>
      <c r="Y81" s="125">
        <f t="shared" si="111"/>
        <v>82870.499999999971</v>
      </c>
      <c r="Z81" s="125">
        <f t="shared" si="111"/>
        <v>8999.9999999999964</v>
      </c>
      <c r="AA81" s="125">
        <f t="shared" si="111"/>
        <v>1384.5999999299986</v>
      </c>
      <c r="AB81" s="125">
        <f t="shared" si="111"/>
        <v>11196.80000000001</v>
      </c>
      <c r="AC81" s="125">
        <f t="shared" si="111"/>
        <v>391766.23875248642</v>
      </c>
      <c r="AD81" s="125">
        <f t="shared" si="111"/>
        <v>3499.9999999999986</v>
      </c>
      <c r="AE81" s="125">
        <f t="shared" si="111"/>
        <v>942879.45999999985</v>
      </c>
      <c r="AF81" s="129">
        <f>SUM(AF5:AF75)</f>
        <v>34566.452796780672</v>
      </c>
      <c r="AG81" s="125">
        <f t="shared" si="111"/>
        <v>828705.00000000012</v>
      </c>
      <c r="AH81" s="125">
        <f t="shared" si="111"/>
        <v>8999.9999999999964</v>
      </c>
      <c r="AI81" s="125">
        <f t="shared" si="111"/>
        <v>170000</v>
      </c>
      <c r="AJ81" s="125">
        <f t="shared" si="111"/>
        <v>2780</v>
      </c>
      <c r="AK81" s="125">
        <f t="shared" si="111"/>
        <v>1991430.9127967805</v>
      </c>
      <c r="AL81" s="125">
        <f t="shared" si="111"/>
        <v>1225</v>
      </c>
      <c r="AM81" s="125">
        <f t="shared" si="111"/>
        <v>188575.89199999999</v>
      </c>
      <c r="AN81" s="125">
        <f t="shared" si="111"/>
        <v>12098.258478873233</v>
      </c>
      <c r="AO81" s="125">
        <f t="shared" si="111"/>
        <v>82870.499999999971</v>
      </c>
      <c r="AP81" s="125">
        <f t="shared" si="111"/>
        <v>8999.9999999999964</v>
      </c>
      <c r="AQ81" s="125">
        <f t="shared" si="111"/>
        <v>136000</v>
      </c>
      <c r="AR81" s="125">
        <f t="shared" si="111"/>
        <v>2224</v>
      </c>
      <c r="AS81" s="125">
        <f t="shared" si="111"/>
        <v>431993.65047887317</v>
      </c>
      <c r="AT81" s="125">
        <f t="shared" si="111"/>
        <v>365.68162686675902</v>
      </c>
      <c r="AU81" s="125">
        <f t="shared" si="111"/>
        <v>135341.35643213568</v>
      </c>
      <c r="AV81" s="125">
        <f t="shared" si="111"/>
        <v>8790.5747441663752</v>
      </c>
      <c r="AW81" s="125">
        <f t="shared" si="111"/>
        <v>82870.499999999971</v>
      </c>
      <c r="AX81" s="125">
        <f t="shared" si="111"/>
        <v>8999.9999999999964</v>
      </c>
      <c r="AY81" s="125">
        <f t="shared" si="111"/>
        <v>10661.334274795821</v>
      </c>
      <c r="AZ81" s="125">
        <f t="shared" si="111"/>
        <v>2224</v>
      </c>
      <c r="BA81" s="125">
        <f t="shared" si="111"/>
        <v>249253.44707796464</v>
      </c>
      <c r="BB81" s="125">
        <f t="shared" si="111"/>
        <v>1044.8046481907406</v>
      </c>
      <c r="BC81" s="125">
        <f t="shared" si="111"/>
        <v>676706.7821606783</v>
      </c>
      <c r="BD81" s="125">
        <f t="shared" si="111"/>
        <v>25115.927840475364</v>
      </c>
      <c r="BE81" s="125">
        <f t="shared" si="111"/>
        <v>828705.00000000012</v>
      </c>
      <c r="BF81" s="125">
        <f t="shared" si="111"/>
        <v>8999.9999999999964</v>
      </c>
      <c r="BG81" s="125">
        <f t="shared" si="111"/>
        <v>13326.667843494783</v>
      </c>
      <c r="BH81" s="125">
        <f t="shared" si="111"/>
        <v>2780</v>
      </c>
      <c r="BI81" s="125">
        <f t="shared" si="111"/>
        <v>1556679.1824928392</v>
      </c>
    </row>
    <row r="82" spans="5:62">
      <c r="E82" s="125" t="s">
        <v>853</v>
      </c>
      <c r="F82" s="125">
        <f>AVERAGE(F5:F75)</f>
        <v>17.868378351014044</v>
      </c>
      <c r="G82" s="125">
        <f t="shared" ref="G82:AK82" si="112">AVERAGE(G5:G75)</f>
        <v>39840.375586854454</v>
      </c>
      <c r="H82" s="125">
        <f t="shared" si="112"/>
        <v>608.56430980247649</v>
      </c>
      <c r="I82" s="125">
        <f t="shared" si="112"/>
        <v>11671.901408450705</v>
      </c>
      <c r="J82" s="125">
        <f t="shared" si="112"/>
        <v>126.76056338028164</v>
      </c>
      <c r="K82" s="125">
        <f t="shared" si="112"/>
        <v>195.01408449718303</v>
      </c>
      <c r="L82" s="125">
        <f t="shared" si="112"/>
        <v>1577.014084507043</v>
      </c>
      <c r="M82" s="125">
        <f t="shared" si="112"/>
        <v>54037.498415843169</v>
      </c>
      <c r="N82" s="125">
        <f t="shared" si="112"/>
        <v>6.2539324228549091</v>
      </c>
      <c r="O82" s="125">
        <f t="shared" si="112"/>
        <v>7968.0751173708877</v>
      </c>
      <c r="P82" s="125">
        <f t="shared" si="112"/>
        <v>212.99750843086684</v>
      </c>
      <c r="Q82" s="125">
        <f t="shared" si="112"/>
        <v>1167.1901408450701</v>
      </c>
      <c r="R82" s="125">
        <f t="shared" si="112"/>
        <v>126.76056338028164</v>
      </c>
      <c r="S82" s="125">
        <f t="shared" si="112"/>
        <v>156.01126759774633</v>
      </c>
      <c r="T82" s="125">
        <f t="shared" si="112"/>
        <v>1261.611267605635</v>
      </c>
      <c r="U82" s="125">
        <f t="shared" si="112"/>
        <v>10898.899797653346</v>
      </c>
      <c r="V82" s="125">
        <f t="shared" si="112"/>
        <v>1.7868378351014036</v>
      </c>
      <c r="W82" s="125">
        <f t="shared" si="112"/>
        <v>3984.0375586854439</v>
      </c>
      <c r="X82" s="125">
        <f t="shared" si="112"/>
        <v>60.856430980247659</v>
      </c>
      <c r="Y82" s="125">
        <f t="shared" si="112"/>
        <v>1167.1901408450701</v>
      </c>
      <c r="Z82" s="125">
        <f t="shared" si="112"/>
        <v>126.76056338028164</v>
      </c>
      <c r="AA82" s="125">
        <f t="shared" si="112"/>
        <v>19.501408449718291</v>
      </c>
      <c r="AB82" s="125">
        <f t="shared" si="112"/>
        <v>157.70140845070438</v>
      </c>
      <c r="AC82" s="125">
        <f t="shared" si="112"/>
        <v>5517.8343486265694</v>
      </c>
      <c r="AD82" s="125">
        <f t="shared" si="112"/>
        <v>49.295774647887306</v>
      </c>
      <c r="AE82" s="125">
        <f t="shared" si="112"/>
        <v>13279.992394366194</v>
      </c>
      <c r="AF82" s="125">
        <f t="shared" si="112"/>
        <v>486.85144784198127</v>
      </c>
      <c r="AG82" s="125">
        <f t="shared" si="112"/>
        <v>11671.901408450705</v>
      </c>
      <c r="AH82" s="125">
        <f t="shared" si="112"/>
        <v>126.76056338028164</v>
      </c>
      <c r="AI82" s="125">
        <f t="shared" si="112"/>
        <v>2394.3661971830984</v>
      </c>
      <c r="AJ82" s="125">
        <f t="shared" si="112"/>
        <v>39.154929577464792</v>
      </c>
      <c r="AK82" s="125">
        <f t="shared" si="112"/>
        <v>28048.322715447612</v>
      </c>
      <c r="AL82" s="125">
        <f t="shared" ref="AL82:BI82" si="113">AVERAGE(AL5:AL75)</f>
        <v>17.253521126760564</v>
      </c>
      <c r="AM82" s="125">
        <f t="shared" si="113"/>
        <v>2655.9984788732395</v>
      </c>
      <c r="AN82" s="125">
        <f t="shared" si="113"/>
        <v>170.39800674469342</v>
      </c>
      <c r="AO82" s="125">
        <f t="shared" si="113"/>
        <v>1167.1901408450701</v>
      </c>
      <c r="AP82" s="125">
        <f t="shared" si="113"/>
        <v>126.76056338028164</v>
      </c>
      <c r="AQ82" s="125">
        <f t="shared" si="113"/>
        <v>1915.4929577464789</v>
      </c>
      <c r="AR82" s="125">
        <f t="shared" si="113"/>
        <v>31.323943661971832</v>
      </c>
      <c r="AS82" s="125">
        <f t="shared" si="113"/>
        <v>6084.4176123784955</v>
      </c>
      <c r="AT82" s="125">
        <f t="shared" si="113"/>
        <v>5.1504454488275915</v>
      </c>
      <c r="AU82" s="125">
        <f t="shared" si="113"/>
        <v>1906.2162877765588</v>
      </c>
      <c r="AV82" s="125">
        <f t="shared" si="113"/>
        <v>123.81091188966725</v>
      </c>
      <c r="AW82" s="125">
        <f t="shared" si="113"/>
        <v>1167.1901408450701</v>
      </c>
      <c r="AX82" s="125">
        <f t="shared" si="113"/>
        <v>126.76056338028164</v>
      </c>
      <c r="AY82" s="125">
        <f t="shared" si="113"/>
        <v>150.15963767318058</v>
      </c>
      <c r="AZ82" s="125">
        <f t="shared" si="113"/>
        <v>31.323943661971832</v>
      </c>
      <c r="BA82" s="125">
        <f t="shared" si="113"/>
        <v>3510.6119306755581</v>
      </c>
      <c r="BB82" s="125">
        <f t="shared" si="113"/>
        <v>14.715558425221699</v>
      </c>
      <c r="BC82" s="125">
        <f t="shared" si="113"/>
        <v>9531.081438882793</v>
      </c>
      <c r="BD82" s="125">
        <f t="shared" si="113"/>
        <v>353.74546254190653</v>
      </c>
      <c r="BE82" s="125">
        <f t="shared" si="113"/>
        <v>11671.901408450705</v>
      </c>
      <c r="BF82" s="125">
        <f t="shared" si="113"/>
        <v>126.76056338028164</v>
      </c>
      <c r="BG82" s="125">
        <f t="shared" si="113"/>
        <v>187.69954709147581</v>
      </c>
      <c r="BH82" s="125">
        <f t="shared" si="113"/>
        <v>39.154929577464792</v>
      </c>
      <c r="BI82" s="125">
        <f t="shared" si="113"/>
        <v>21925.058908349849</v>
      </c>
    </row>
    <row r="83" spans="5:62">
      <c r="E83" s="125" t="s">
        <v>854</v>
      </c>
      <c r="F83" s="125">
        <f t="shared" ref="F83:AK83" si="114">MIN(F5:F75)</f>
        <v>2.06185457571724</v>
      </c>
      <c r="G83" s="125">
        <f t="shared" si="114"/>
        <v>2126.8170426065167</v>
      </c>
      <c r="H83" s="125">
        <f t="shared" si="114"/>
        <v>7.7094377741597695</v>
      </c>
      <c r="I83" s="125">
        <f t="shared" si="114"/>
        <v>52.90320551770089</v>
      </c>
      <c r="J83" s="125">
        <f t="shared" si="114"/>
        <v>1.3842604460394772</v>
      </c>
      <c r="K83" s="125">
        <f t="shared" si="114"/>
        <v>27.472222220833331</v>
      </c>
      <c r="L83" s="125">
        <f t="shared" si="114"/>
        <v>224.65489566613161</v>
      </c>
      <c r="M83" s="125">
        <f t="shared" si="114"/>
        <v>6033.5786089764415</v>
      </c>
      <c r="N83" s="125">
        <f t="shared" si="114"/>
        <v>0.7216491015010339</v>
      </c>
      <c r="O83" s="125">
        <f t="shared" si="114"/>
        <v>425.36340852130337</v>
      </c>
      <c r="P83" s="125">
        <f t="shared" si="114"/>
        <v>2.698303220955919</v>
      </c>
      <c r="Q83" s="125">
        <f t="shared" si="114"/>
        <v>5.2903205517700895</v>
      </c>
      <c r="R83" s="125">
        <f t="shared" si="114"/>
        <v>1.3842604460394772</v>
      </c>
      <c r="S83" s="125">
        <f t="shared" si="114"/>
        <v>21.977777776666667</v>
      </c>
      <c r="T83" s="125">
        <f t="shared" si="114"/>
        <v>179.72391653290529</v>
      </c>
      <c r="U83" s="125">
        <f t="shared" si="114"/>
        <v>1624.9107574688633</v>
      </c>
      <c r="V83" s="125">
        <f t="shared" si="114"/>
        <v>0.20618545757172402</v>
      </c>
      <c r="W83" s="125">
        <f t="shared" si="114"/>
        <v>212.68170426065168</v>
      </c>
      <c r="X83" s="125">
        <f t="shared" si="114"/>
        <v>0.77094377741597697</v>
      </c>
      <c r="Y83" s="125">
        <f t="shared" si="114"/>
        <v>5.2903205517700895</v>
      </c>
      <c r="Z83" s="125">
        <f t="shared" si="114"/>
        <v>1.3842604460394772</v>
      </c>
      <c r="AA83" s="125">
        <f t="shared" si="114"/>
        <v>2.7472222220833333</v>
      </c>
      <c r="AB83" s="125">
        <f t="shared" si="114"/>
        <v>22.465489566613162</v>
      </c>
      <c r="AC83" s="125">
        <f t="shared" si="114"/>
        <v>629.3493864491619</v>
      </c>
      <c r="AD83" s="125">
        <f t="shared" si="114"/>
        <v>0.47261646319789818</v>
      </c>
      <c r="AE83" s="125">
        <f t="shared" si="114"/>
        <v>127.32010160204119</v>
      </c>
      <c r="AF83" s="125">
        <f t="shared" si="114"/>
        <v>4.6676213331747345</v>
      </c>
      <c r="AG83" s="125">
        <f t="shared" si="114"/>
        <v>52.90320551770089</v>
      </c>
      <c r="AH83" s="125">
        <f t="shared" si="114"/>
        <v>1.3842604460394772</v>
      </c>
      <c r="AI83" s="125">
        <f t="shared" si="114"/>
        <v>22.955656783897915</v>
      </c>
      <c r="AJ83" s="125">
        <f t="shared" si="114"/>
        <v>0.37539250505433053</v>
      </c>
      <c r="AK83" s="125">
        <f t="shared" si="114"/>
        <v>210.07885465110644</v>
      </c>
      <c r="AL83" s="125">
        <f t="shared" ref="AL83:BI83" si="115">MIN(AL5:AL75)</f>
        <v>0.16541576211926434</v>
      </c>
      <c r="AM83" s="125">
        <f t="shared" si="115"/>
        <v>25.464020320408238</v>
      </c>
      <c r="AN83" s="125">
        <f t="shared" si="115"/>
        <v>1.633667466611157</v>
      </c>
      <c r="AO83" s="125">
        <f t="shared" si="115"/>
        <v>5.2903205517700895</v>
      </c>
      <c r="AP83" s="125">
        <f t="shared" si="115"/>
        <v>1.3842604460394772</v>
      </c>
      <c r="AQ83" s="125">
        <f t="shared" si="115"/>
        <v>18.364525427118334</v>
      </c>
      <c r="AR83" s="125">
        <f t="shared" si="115"/>
        <v>0.30031400404346442</v>
      </c>
      <c r="AS83" s="125">
        <f t="shared" si="115"/>
        <v>52.602523978110021</v>
      </c>
      <c r="AT83" s="125">
        <f t="shared" si="115"/>
        <v>0.16541576211926434</v>
      </c>
      <c r="AU83" s="125">
        <f t="shared" si="115"/>
        <v>25.464020320408238</v>
      </c>
      <c r="AV83" s="125">
        <f t="shared" si="115"/>
        <v>1.633667466611157</v>
      </c>
      <c r="AW83" s="125">
        <f t="shared" si="115"/>
        <v>5.2903205517700895</v>
      </c>
      <c r="AX83" s="125">
        <f t="shared" si="115"/>
        <v>1.3842604460394772</v>
      </c>
      <c r="AY83" s="125">
        <f t="shared" si="115"/>
        <v>18.364525427118334</v>
      </c>
      <c r="AZ83" s="125">
        <f t="shared" si="115"/>
        <v>0.30031400404346442</v>
      </c>
      <c r="BA83" s="125">
        <f t="shared" si="115"/>
        <v>52.602523978110021</v>
      </c>
      <c r="BB83" s="125">
        <f t="shared" si="115"/>
        <v>0.47261646319789818</v>
      </c>
      <c r="BC83" s="125">
        <f t="shared" si="115"/>
        <v>127.32010160204119</v>
      </c>
      <c r="BD83" s="125">
        <f t="shared" si="115"/>
        <v>4.6676213331747345</v>
      </c>
      <c r="BE83" s="125">
        <f t="shared" si="115"/>
        <v>52.90320551770089</v>
      </c>
      <c r="BF83" s="125">
        <f t="shared" si="115"/>
        <v>1.3842604460394772</v>
      </c>
      <c r="BG83" s="125">
        <f t="shared" si="115"/>
        <v>22.955656783897915</v>
      </c>
      <c r="BH83" s="125">
        <f t="shared" si="115"/>
        <v>0.37539250505433053</v>
      </c>
      <c r="BI83" s="125">
        <f t="shared" si="115"/>
        <v>210.07885465110644</v>
      </c>
    </row>
    <row r="84" spans="5:62">
      <c r="E84" s="125" t="s">
        <v>855</v>
      </c>
      <c r="F84" s="125">
        <f t="shared" ref="F84:AK84" si="116">MAX(F5:F75)</f>
        <v>86.597892180124177</v>
      </c>
      <c r="G84" s="125">
        <f t="shared" si="116"/>
        <v>159511.27819548873</v>
      </c>
      <c r="H84" s="125">
        <f t="shared" si="116"/>
        <v>3739.9230959517299</v>
      </c>
      <c r="I84" s="125">
        <f t="shared" si="116"/>
        <v>246390.19262687294</v>
      </c>
      <c r="J84" s="125">
        <f t="shared" si="116"/>
        <v>1193.4496433795257</v>
      </c>
      <c r="K84" s="125">
        <f t="shared" si="116"/>
        <v>1493.8020832578127</v>
      </c>
      <c r="L84" s="125">
        <f t="shared" si="116"/>
        <v>7773.0593900481535</v>
      </c>
      <c r="M84" s="125">
        <f t="shared" si="116"/>
        <v>266672.78040049667</v>
      </c>
      <c r="N84" s="125">
        <f t="shared" si="116"/>
        <v>30.309262263043461</v>
      </c>
      <c r="O84" s="125">
        <f t="shared" si="116"/>
        <v>31902.255639097748</v>
      </c>
      <c r="P84" s="125">
        <f t="shared" si="116"/>
        <v>1308.9730835831053</v>
      </c>
      <c r="Q84" s="125">
        <f t="shared" si="116"/>
        <v>24639.019262687296</v>
      </c>
      <c r="R84" s="125">
        <f t="shared" si="116"/>
        <v>1193.4496433795257</v>
      </c>
      <c r="S84" s="125">
        <f t="shared" si="116"/>
        <v>1195.0416666062501</v>
      </c>
      <c r="T84" s="125">
        <f t="shared" si="116"/>
        <v>6218.4475120385232</v>
      </c>
      <c r="U84" s="125">
        <f t="shared" si="116"/>
        <v>36211.084915235748</v>
      </c>
      <c r="V84" s="125">
        <f t="shared" si="116"/>
        <v>8.6597892180124187</v>
      </c>
      <c r="W84" s="125">
        <f t="shared" si="116"/>
        <v>15951.127819548874</v>
      </c>
      <c r="X84" s="125">
        <f t="shared" si="116"/>
        <v>373.99230959517303</v>
      </c>
      <c r="Y84" s="125">
        <f t="shared" si="116"/>
        <v>24639.019262687296</v>
      </c>
      <c r="Z84" s="125">
        <f t="shared" si="116"/>
        <v>1193.4496433795257</v>
      </c>
      <c r="AA84" s="125">
        <f t="shared" si="116"/>
        <v>149.38020832578127</v>
      </c>
      <c r="AB84" s="125">
        <f t="shared" si="116"/>
        <v>777.3059390048154</v>
      </c>
      <c r="AC84" s="125">
        <f t="shared" si="116"/>
        <v>27741.382719091242</v>
      </c>
      <c r="AD84" s="125">
        <f t="shared" si="116"/>
        <v>455.39452515800042</v>
      </c>
      <c r="AE84" s="125">
        <f t="shared" si="116"/>
        <v>122680.61256226625</v>
      </c>
      <c r="AF84" s="125">
        <f t="shared" si="116"/>
        <v>4497.5352450818182</v>
      </c>
      <c r="AG84" s="125">
        <f t="shared" si="116"/>
        <v>246390.19262687294</v>
      </c>
      <c r="AH84" s="125">
        <f t="shared" si="116"/>
        <v>1193.4496433795257</v>
      </c>
      <c r="AI84" s="125">
        <f t="shared" si="116"/>
        <v>22119.162650531449</v>
      </c>
      <c r="AJ84" s="125">
        <f t="shared" si="116"/>
        <v>361.71336569692602</v>
      </c>
      <c r="AK84" s="125">
        <f t="shared" si="116"/>
        <v>397698.06061898696</v>
      </c>
      <c r="AL84" s="125">
        <f t="shared" ref="AL84:BI84" si="117">MAX(AL5:AL75)</f>
        <v>159.38808380530014</v>
      </c>
      <c r="AM84" s="125">
        <f t="shared" si="117"/>
        <v>24536.12251245325</v>
      </c>
      <c r="AN84" s="125">
        <f t="shared" si="117"/>
        <v>1574.1373357786363</v>
      </c>
      <c r="AO84" s="125">
        <f t="shared" si="117"/>
        <v>24639.019262687296</v>
      </c>
      <c r="AP84" s="125">
        <f t="shared" si="117"/>
        <v>1193.4496433795257</v>
      </c>
      <c r="AQ84" s="125">
        <f t="shared" si="117"/>
        <v>17695.330120425158</v>
      </c>
      <c r="AR84" s="125">
        <f t="shared" si="117"/>
        <v>289.37069255754085</v>
      </c>
      <c r="AS84" s="125">
        <f t="shared" si="117"/>
        <v>70086.817651086705</v>
      </c>
      <c r="AT84" s="125">
        <f t="shared" si="117"/>
        <v>19.484525740527943</v>
      </c>
      <c r="AU84" s="125">
        <f t="shared" si="117"/>
        <v>11302.154363020301</v>
      </c>
      <c r="AV84" s="125">
        <f t="shared" si="117"/>
        <v>725.10002949870398</v>
      </c>
      <c r="AW84" s="125">
        <f t="shared" si="117"/>
        <v>24639.019262687296</v>
      </c>
      <c r="AX84" s="125">
        <f t="shared" si="117"/>
        <v>1193.4496433795257</v>
      </c>
      <c r="AY84" s="125">
        <f t="shared" si="117"/>
        <v>1195.0416666062501</v>
      </c>
      <c r="AZ84" s="125">
        <f t="shared" si="117"/>
        <v>289.37069255754085</v>
      </c>
      <c r="BA84" s="125">
        <f t="shared" si="117"/>
        <v>30174.064403190623</v>
      </c>
      <c r="BB84" s="125">
        <f t="shared" si="117"/>
        <v>55.670073544365557</v>
      </c>
      <c r="BC84" s="125">
        <f t="shared" si="117"/>
        <v>56510.7718151015</v>
      </c>
      <c r="BD84" s="125">
        <f t="shared" si="117"/>
        <v>2071.7143699962971</v>
      </c>
      <c r="BE84" s="125">
        <f t="shared" si="117"/>
        <v>246390.19262687294</v>
      </c>
      <c r="BF84" s="125">
        <f t="shared" si="117"/>
        <v>1193.4496433795257</v>
      </c>
      <c r="BG84" s="125">
        <f t="shared" si="117"/>
        <v>1493.8020832578127</v>
      </c>
      <c r="BH84" s="125">
        <f t="shared" si="117"/>
        <v>361.71336569692602</v>
      </c>
      <c r="BI84" s="125">
        <f t="shared" si="117"/>
        <v>266603.15636651468</v>
      </c>
    </row>
    <row r="86" spans="5:62">
      <c r="N86">
        <f t="shared" ref="N86" si="118">N81/F81</f>
        <v>0.34999999999999964</v>
      </c>
      <c r="O86">
        <f t="shared" ref="O86" si="119">O81/G81</f>
        <v>0.19999999999999993</v>
      </c>
      <c r="P86">
        <f>P81/H81</f>
        <v>0.35000000000000009</v>
      </c>
      <c r="Q86">
        <f>Q81/I81</f>
        <v>9.999999999999995E-2</v>
      </c>
      <c r="R86">
        <f t="shared" ref="R86:U86" si="120">R81/J81</f>
        <v>1</v>
      </c>
      <c r="S86">
        <f t="shared" si="120"/>
        <v>0.79999999999999949</v>
      </c>
      <c r="T86">
        <f t="shared" si="120"/>
        <v>0.80000000000000027</v>
      </c>
      <c r="U86">
        <f t="shared" si="120"/>
        <v>0.20169142016496297</v>
      </c>
      <c r="V86">
        <f>V81/F81</f>
        <v>9.999999999999995E-2</v>
      </c>
      <c r="W86">
        <f t="shared" ref="W86:AC86" si="121">W81/G81</f>
        <v>9.9999999999999964E-2</v>
      </c>
      <c r="X86">
        <f t="shared" si="121"/>
        <v>0.10000000000000002</v>
      </c>
      <c r="Y86">
        <f t="shared" si="121"/>
        <v>9.999999999999995E-2</v>
      </c>
      <c r="Z86">
        <f t="shared" si="121"/>
        <v>1</v>
      </c>
      <c r="AA86">
        <f t="shared" si="121"/>
        <v>9.9999999999999936E-2</v>
      </c>
      <c r="AB86">
        <f t="shared" si="121"/>
        <v>0.10000000000000003</v>
      </c>
      <c r="AC86">
        <f t="shared" si="121"/>
        <v>0.10211121000021725</v>
      </c>
      <c r="AD86">
        <f t="shared" ref="AD86" si="122">AD81/V81</f>
        <v>27.588275600337148</v>
      </c>
      <c r="AE86">
        <f t="shared" ref="AE86:AG86" si="123">AE81/W81</f>
        <v>3.3333000000000013</v>
      </c>
      <c r="AF86">
        <f t="shared" si="123"/>
        <v>8</v>
      </c>
      <c r="AG86">
        <f t="shared" si="123"/>
        <v>10.000000000000005</v>
      </c>
      <c r="AH86">
        <f t="shared" ref="AH86" si="124">AH81/Z81</f>
        <v>1</v>
      </c>
      <c r="AI86">
        <f t="shared" ref="AI86" si="125">AI81/AA81</f>
        <v>122.77914199667393</v>
      </c>
      <c r="AJ86">
        <f t="shared" ref="AJ86" si="126">AJ81/AB81</f>
        <v>0.24828522434981401</v>
      </c>
      <c r="AK86">
        <f t="shared" ref="AK86" si="127">AK81/AC81</f>
        <v>5.0832121704467355</v>
      </c>
      <c r="AL86">
        <f>AL81/AD81</f>
        <v>0.35000000000000014</v>
      </c>
      <c r="AM86">
        <f t="shared" ref="AM86:AO86" si="128">AM81/AE81</f>
        <v>0.2</v>
      </c>
      <c r="AN86" s="130">
        <f>AN81/AF81</f>
        <v>0.34999999999999992</v>
      </c>
      <c r="AO86">
        <f t="shared" si="128"/>
        <v>9.999999999999995E-2</v>
      </c>
      <c r="AP86">
        <f t="shared" ref="AP86" si="129">AP81/AH81</f>
        <v>1</v>
      </c>
      <c r="AQ86">
        <f t="shared" ref="AQ86" si="130">AQ81/AI81</f>
        <v>0.8</v>
      </c>
      <c r="AR86">
        <f t="shared" ref="AR86" si="131">AR81/AJ81</f>
        <v>0.8</v>
      </c>
      <c r="AS86">
        <f t="shared" ref="AS86" si="132">AS81/AK81</f>
        <v>0.21692625523833917</v>
      </c>
      <c r="AT86">
        <f t="shared" ref="AT86" si="133">AT81/AL81</f>
        <v>0.29851561376878288</v>
      </c>
      <c r="AU86">
        <f t="shared" ref="AU86:AW86" si="134">AU81/AM81</f>
        <v>0.71770232661625533</v>
      </c>
      <c r="AV86">
        <f t="shared" si="134"/>
        <v>0.72659835789729976</v>
      </c>
      <c r="AW86">
        <f t="shared" si="134"/>
        <v>1</v>
      </c>
      <c r="AX86">
        <f t="shared" ref="AX86" si="135">AX81/AP81</f>
        <v>1</v>
      </c>
      <c r="AY86">
        <f t="shared" ref="AY86" si="136">AY81/AQ81</f>
        <v>7.8392163785263397E-2</v>
      </c>
      <c r="AZ86">
        <f t="shared" ref="AZ86" si="137">AZ81/AR81</f>
        <v>1</v>
      </c>
      <c r="BA86">
        <f t="shared" ref="BA86" si="138">BA81/AS81</f>
        <v>0.57698405243147077</v>
      </c>
      <c r="BB86">
        <f t="shared" ref="BB86" si="139">BB81/AT81</f>
        <v>2.8571428571428585</v>
      </c>
      <c r="BC86">
        <f t="shared" ref="BC86:BE86" si="140">BC81/AU81</f>
        <v>4.9999999999999991</v>
      </c>
      <c r="BD86">
        <f t="shared" si="140"/>
        <v>2.8571428571428577</v>
      </c>
      <c r="BE86">
        <f t="shared" si="140"/>
        <v>10.000000000000005</v>
      </c>
      <c r="BF86">
        <f t="shared" ref="BF86" si="141">BF81/AX81</f>
        <v>1</v>
      </c>
      <c r="BG86">
        <f t="shared" ref="BG86" si="142">BG81/AY81</f>
        <v>1.2500000000000004</v>
      </c>
      <c r="BH86">
        <f t="shared" ref="BH86" si="143">BH81/AZ81</f>
        <v>1.25</v>
      </c>
      <c r="BI86">
        <f t="shared" ref="BI86" si="144">BI81/BA81</f>
        <v>6.2453667170585669</v>
      </c>
    </row>
    <row r="91" spans="5:62" ht="45">
      <c r="BC91" s="12" t="s">
        <v>829</v>
      </c>
      <c r="BD91" s="12" t="s">
        <v>830</v>
      </c>
      <c r="BE91" s="12" t="s">
        <v>831</v>
      </c>
      <c r="BF91" s="12" t="s">
        <v>832</v>
      </c>
      <c r="BG91" s="12" t="s">
        <v>833</v>
      </c>
      <c r="BH91" s="12" t="s">
        <v>834</v>
      </c>
      <c r="BI91" s="12" t="s">
        <v>835</v>
      </c>
      <c r="BJ91" s="12" t="s">
        <v>836</v>
      </c>
    </row>
    <row r="92" spans="5:62" ht="15.75" customHeight="1">
      <c r="G92">
        <f>SUM(G5:G75)</f>
        <v>2828666.666666666</v>
      </c>
      <c r="H92">
        <f>SUM(H5:H75)</f>
        <v>43208.065995975834</v>
      </c>
    </row>
    <row r="93" spans="5:62" ht="15.75" customHeight="1">
      <c r="G93">
        <f>G92*0.33333</f>
        <v>942879.45999999985</v>
      </c>
      <c r="AF93" t="s">
        <v>637</v>
      </c>
      <c r="BC93" t="s">
        <v>363</v>
      </c>
    </row>
    <row r="94" spans="5:62" ht="15.75" customHeight="1">
      <c r="BC94">
        <v>0.35</v>
      </c>
      <c r="BD94">
        <v>0.2</v>
      </c>
      <c r="BE94">
        <v>0.35</v>
      </c>
      <c r="BF94">
        <v>0.1</v>
      </c>
      <c r="BG94">
        <v>1</v>
      </c>
      <c r="BH94">
        <v>0.8</v>
      </c>
      <c r="BI94">
        <v>0.8</v>
      </c>
    </row>
    <row r="95" spans="5:62" ht="15.75" customHeight="1"/>
    <row r="102" ht="71.25" customHeight="1"/>
    <row r="104" ht="28.5" customHeight="1"/>
    <row r="105" ht="28.5" customHeight="1"/>
  </sheetData>
  <sheetProtection autoFilter="0"/>
  <sortState xmlns:xlrd2="http://schemas.microsoft.com/office/spreadsheetml/2017/richdata2" ref="A5:BX75">
    <sortCondition ref="C5:C75"/>
    <sortCondition ref="B5:B75"/>
  </sortState>
  <mergeCells count="27">
    <mergeCell ref="F79:M79"/>
    <mergeCell ref="N79:U79"/>
    <mergeCell ref="V79:AC79"/>
    <mergeCell ref="AD79:AK79"/>
    <mergeCell ref="AL79:AS79"/>
    <mergeCell ref="CU4:DB4"/>
    <mergeCell ref="DC4:DJ4"/>
    <mergeCell ref="DK4:DR4"/>
    <mergeCell ref="AT79:BA79"/>
    <mergeCell ref="BB79:BI79"/>
    <mergeCell ref="BO4:BV4"/>
    <mergeCell ref="BW4:CD4"/>
    <mergeCell ref="BN4:BN5"/>
    <mergeCell ref="CE4:CL4"/>
    <mergeCell ref="CM4:CT4"/>
    <mergeCell ref="F78:BI78"/>
    <mergeCell ref="A2:E2"/>
    <mergeCell ref="A3:C3"/>
    <mergeCell ref="D3:E3"/>
    <mergeCell ref="F2:BI2"/>
    <mergeCell ref="BB3:BI3"/>
    <mergeCell ref="F3:M3"/>
    <mergeCell ref="N3:U3"/>
    <mergeCell ref="V3:AC3"/>
    <mergeCell ref="AD3:AK3"/>
    <mergeCell ref="AL3:AS3"/>
    <mergeCell ref="AT3:BA3"/>
  </mergeCells>
  <pageMargins left="0.7" right="0.7" top="0.75" bottom="0.75" header="0.3" footer="0.3"/>
  <drawing r:id="rId1"/>
  <tableParts count="2">
    <tablePart r:id="rId2"/>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21</vt:i4>
      </vt:variant>
    </vt:vector>
  </HeadingPairs>
  <TitlesOfParts>
    <vt:vector size="21" baseType="lpstr">
      <vt:lpstr>Miel</vt:lpstr>
      <vt:lpstr>Traiteur</vt:lpstr>
      <vt:lpstr>bière</vt:lpstr>
      <vt:lpstr>fermiers</vt:lpstr>
      <vt:lpstr>Ind. lait</vt:lpstr>
      <vt:lpstr>cidre</vt:lpstr>
      <vt:lpstr>portage</vt:lpstr>
      <vt:lpstr>conso-ménages</vt:lpstr>
      <vt:lpstr>Synthèse</vt:lpstr>
      <vt:lpstr>Méthode</vt:lpstr>
      <vt:lpstr>Data</vt:lpstr>
      <vt:lpstr>A-Demande-Miel</vt:lpstr>
      <vt:lpstr>A-Demande-CHR-traiteur</vt:lpstr>
      <vt:lpstr>A-Demande-bière</vt:lpstr>
      <vt:lpstr>A-Demande-fermiers</vt:lpstr>
      <vt:lpstr>A-Demande-Ind-lait</vt:lpstr>
      <vt:lpstr>A-Demande-cidre</vt:lpstr>
      <vt:lpstr>A-Portage</vt:lpstr>
      <vt:lpstr>A-conso</vt:lpstr>
      <vt:lpstr>A-analyse-comp</vt:lpstr>
      <vt:lpstr>A-synth-prod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Alexis Dufumier</dc:creator>
  <cp:lastModifiedBy>YVER Mathilde</cp:lastModifiedBy>
  <dcterms:created xsi:type="dcterms:W3CDTF">2024-01-23T10:27:06Z</dcterms:created>
  <dcterms:modified xsi:type="dcterms:W3CDTF">2026-01-07T14:28:27Z</dcterms:modified>
</cp:coreProperties>
</file>